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gejgl8/8pHyEcJNbpzqhdds79EV6JdD4FNxu1PYadhz4rIhIGPaEUytfTHm+9erVEpDSg6741K15PNG16KWQmw==" workbookSaltValue="upFRW2f7VoLbUDsHD1d3F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S14" i="16"/>
  <c r="P14" i="16"/>
  <c r="F13" i="16"/>
  <c r="N30" i="16"/>
  <c r="H14" i="21"/>
  <c r="K26" i="2"/>
  <c r="K23" i="2"/>
  <c r="N26" i="2"/>
  <c r="M14" i="2"/>
  <c r="M23" i="2"/>
  <c r="N14" i="2"/>
  <c r="G26" i="2"/>
  <c r="N23" i="2"/>
  <c r="K30" i="2"/>
  <c r="F30" i="17"/>
  <c r="F14" i="7"/>
  <c r="BI25" i="11"/>
  <c r="BI19" i="11"/>
  <c r="AZ13" i="11"/>
  <c r="AZ9" i="11"/>
  <c r="AZ14" i="11" s="1"/>
  <c r="BJ28" i="11"/>
  <c r="BU11" i="17"/>
  <c r="BU21" i="17"/>
  <c r="BW17" i="20"/>
  <c r="BW16" i="20"/>
  <c r="BV10" i="16"/>
  <c r="S11" i="17"/>
  <c r="T14" i="16"/>
  <c r="T17" i="11"/>
  <c r="BF12" i="11"/>
  <c r="AO29" i="17"/>
  <c r="S10" i="17"/>
  <c r="BI29" i="11"/>
  <c r="BG17" i="11"/>
  <c r="BM21" i="11"/>
  <c r="AO25" i="17"/>
  <c r="BJ17" i="11"/>
  <c r="BL17" i="11"/>
  <c r="T14" i="20"/>
  <c r="BH22" i="11"/>
  <c r="BF25" i="8"/>
  <c r="AY14" i="8"/>
  <c r="BD9" i="8"/>
  <c r="BF9" i="8"/>
  <c r="L10" i="2"/>
  <c r="C30" i="7"/>
  <c r="S17" i="17"/>
  <c r="L25" i="2"/>
  <c r="X10" i="21"/>
  <c r="AO14" i="21"/>
  <c r="L19" i="2"/>
  <c r="L9" i="2"/>
  <c r="AP14" i="16"/>
  <c r="V25" i="16"/>
  <c r="T23" i="17"/>
  <c r="T26" i="17" s="1"/>
  <c r="T30" i="17" s="1"/>
  <c r="BG16" i="13"/>
  <c r="BE17" i="13"/>
  <c r="BE16" i="13"/>
  <c r="X32" i="20"/>
  <c r="G23" i="14"/>
  <c r="G30" i="14"/>
  <c r="F25" i="2" l="1"/>
  <c r="BF18" i="8"/>
  <c r="BF17" i="8"/>
  <c r="BD12" i="8"/>
  <c r="X13" i="16"/>
  <c r="U9" i="17"/>
  <c r="U31" i="17" s="1"/>
  <c r="L13" i="2"/>
  <c r="L12" i="2"/>
  <c r="S16" i="17"/>
  <c r="X21" i="20"/>
  <c r="L28" i="2"/>
  <c r="BK22" i="11"/>
  <c r="BH12" i="16"/>
  <c r="BM9" i="11"/>
  <c r="S18" i="17"/>
  <c r="BH11" i="11"/>
  <c r="BH10" i="16"/>
  <c r="BL10" i="11"/>
  <c r="BH25" i="16"/>
  <c r="P16" i="17"/>
  <c r="X16" i="17"/>
  <c r="AZ22" i="11"/>
  <c r="BV20" i="16"/>
  <c r="BU18" i="17"/>
  <c r="U10" i="17"/>
  <c r="BV25" i="16"/>
  <c r="BV17" i="16"/>
  <c r="BW9" i="20"/>
  <c r="BU28" i="17"/>
  <c r="BM20" i="11"/>
  <c r="BL25" i="11"/>
  <c r="AP22" i="20"/>
  <c r="V13" i="11"/>
  <c r="BK21" i="11"/>
  <c r="AZ19" i="11"/>
  <c r="Z14" i="17"/>
  <c r="BG22" i="11"/>
  <c r="BF18" i="11"/>
  <c r="Q18" i="20"/>
  <c r="Q23" i="20" s="1"/>
  <c r="BG25" i="11"/>
  <c r="V16" i="11"/>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<sst xmlns="http://schemas.openxmlformats.org/spreadsheetml/2006/main" count="2682" uniqueCount="1193">
  <si>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</si>
  <si>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</si>
  <si>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</si>
  <si>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</si>
  <si>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</si>
  <si>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</si>
  <si>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</si>
  <si>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</si>
  <si>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</si>
  <si>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</si>
  <si>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</si>
  <si>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</si>
  <si>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</si>
  <si>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</si>
  <si>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</si>
  <si>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</si>
  <si>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</si>
  <si>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</si>
  <si>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</si>
  <si>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</si>
  <si>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</si>
  <si>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</si>
  <si>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</si>
  <si>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</si>
  <si>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</si>
  <si>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</si>
  <si>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</si>
  <si>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</si>
  <si>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</si>
  <si>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</si>
  <si>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</si>
  <si>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</si>
  <si>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</si>
  <si>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</si>
  <si>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</si>
  <si>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</si>
  <si>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</si>
  <si>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</si>
  <si>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</si>
  <si>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</si>
  <si>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</si>
  <si>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</si>
  <si>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</si>
  <si>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</si>
  <si>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</si>
  <si>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</si>
  <si>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</si>
  <si>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</si>
  <si>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</si>
  <si>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</si>
  <si>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</si>
  <si>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</si>
  <si>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</si>
  <si>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</si>
  <si>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</si>
  <si>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</si>
  <si>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</si>
  <si>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</si>
  <si>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</si>
  <si>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</si>
  <si>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</si>
  <si>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</si>
  <si>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</si>
  <si>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</si>
  <si>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</si>
  <si>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</si>
  <si>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</si>
  <si>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</si>
  <si>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</si>
  <si>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</si>
  <si>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</si>
  <si>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</si>
  <si>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</si>
  <si>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</si>
  <si>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</si>
  <si>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</si>
  <si>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</si>
  <si>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</si>
  <si>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</si>
  <si>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</si>
  <si>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</si>
  <si>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</si>
  <si>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</si>
  <si>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</si>
  <si>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</si>
  <si>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</si>
  <si>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</si>
  <si>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</si>
  <si>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</si>
  <si>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</si>
  <si>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</si>
  <si>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</si>
  <si>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</si>
  <si>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</si>
  <si>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</si>
  <si>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</si>
  <si>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</si>
  <si>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</si>
  <si>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</si>
  <si>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</si>
  <si>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</si>
  <si>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</si>
  <si>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</si>
  <si>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</si>
  <si>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</si>
  <si>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</si>
  <si>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</si>
  <si>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</si>
  <si>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</si>
  <si>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</si>
  <si>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</si>
  <si>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</si>
  <si>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</si>
  <si>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</si>
  <si>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</si>
  <si>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</si>
  <si>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</si>
  <si>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</si>
  <si>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</si>
  <si>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</si>
  <si>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</si>
  <si>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</si>
  <si>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</si>
  <si>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</si>
  <si>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</si>
  <si>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</si>
  <si>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</si>
  <si>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</si>
  <si>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</si>
  <si>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</si>
  <si>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</si>
  <si>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</si>
  <si>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</si>
  <si>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</si>
  <si>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</si>
  <si>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</si>
  <si>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</si>
  <si>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</si>
  <si>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</si>
  <si>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</si>
  <si>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</si>
  <si>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</si>
  <si>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</si>
  <si>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</si>
  <si>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</si>
  <si>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</si>
  <si>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</si>
  <si>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</si>
  <si>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</si>
  <si>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</si>
  <si>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</si>
  <si>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</si>
  <si>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</si>
  <si>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</si>
  <si>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</si>
  <si>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</si>
  <si>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</si>
  <si>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</si>
  <si>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</si>
  <si>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</si>
  <si>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</si>
  <si>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</si>
  <si>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</si>
  <si>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</si>
  <si>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</si>
  <si>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</si>
  <si>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</si>
  <si>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</si>
  <si>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</si>
  <si>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</si>
  <si>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</si>
  <si>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</si>
  <si>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</si>
  <si>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</si>
  <si>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</si>
  <si>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</si>
  <si>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</si>
  <si>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</si>
  <si>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</si>
  <si>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</si>
  <si>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</si>
  <si>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</si>
  <si>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</si>
  <si>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</si>
  <si>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</si>
  <si>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</si>
  <si>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</si>
  <si>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</si>
  <si>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</si>
  <si>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</si>
  <si>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</si>
  <si>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</si>
  <si>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</si>
  <si>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</si>
  <si>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</si>
  <si>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</si>
  <si>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</si>
  <si>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</si>
  <si>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</si>
  <si>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</si>
  <si>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</si>
  <si>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</si>
  <si>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</si>
  <si>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</si>
  <si>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</si>
  <si>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</si>
  <si>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</si>
  <si>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</si>
  <si>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</si>
  <si>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</si>
  <si>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</si>
  <si>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</si>
  <si>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</si>
  <si>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</si>
  <si>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</si>
  <si>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</si>
  <si>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</si>
  <si>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</si>
  <si>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</si>
  <si>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</si>
  <si>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</si>
  <si>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</si>
  <si>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</si>
  <si>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</si>
  <si>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</si>
  <si>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</si>
  <si>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</si>
  <si>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</si>
  <si>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</si>
  <si>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</si>
  <si>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</si>
  <si>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</si>
  <si>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</si>
  <si>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</si>
  <si>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</si>
  <si>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</si>
  <si>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</si>
  <si>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</si>
  <si>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</si>
  <si>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</si>
  <si>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</si>
  <si>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</si>
  <si>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</si>
  <si>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</si>
  <si>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</si>
  <si>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</si>
  <si>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</si>
  <si>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</si>
  <si>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</si>
  <si>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</si>
  <si>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</si>
  <si>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</si>
  <si>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</si>
  <si>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</si>
  <si>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</si>
  <si>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</si>
  <si>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</si>
  <si>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</si>
  <si>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</si>
  <si>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</si>
  <si>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</si>
  <si>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</si>
  <si>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</si>
  <si>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</si>
  <si>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</si>
  <si>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</si>
  <si>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</si>
  <si>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</si>
  <si>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</si>
  <si>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</si>
  <si>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</si>
  <si>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</si>
  <si>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</si>
  <si>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</si>
  <si>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</si>
  <si>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</si>
  <si>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</si>
  <si>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</si>
  <si>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</si>
  <si>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</si>
  <si>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</si>
  <si>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</si>
  <si>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</si>
  <si>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</si>
  <si>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</si>
  <si>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</si>
  <si>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</si>
  <si>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</si>
  <si>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</si>
  <si>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</si>
  <si>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</si>
  <si>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</si>
  <si>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</si>
  <si>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</si>
  <si>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</si>
  <si>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</si>
  <si>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</si>
  <si>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</si>
  <si>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</si>
  <si>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</si>
  <si>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</si>
  <si>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</si>
  <si>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</si>
  <si>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</si>
  <si>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</si>
  <si>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</si>
  <si>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</si>
  <si>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</si>
  <si>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</si>
  <si>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</si>
  <si>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</si>
  <si>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</si>
  <si>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</si>
  <si>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</si>
  <si>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</si>
  <si>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</si>
  <si>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</si>
  <si>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</si>
  <si>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</si>
  <si>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</si>
  <si>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</si>
  <si>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</si>
  <si>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</si>
  <si>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</si>
  <si>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</si>
  <si>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</si>
  <si>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</si>
  <si>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</si>
  <si>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</si>
  <si>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</si>
  <si>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</si>
  <si>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</si>
  <si>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</si>
  <si>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</si>
  <si>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</si>
  <si>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</si>
  <si>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</si>
  <si>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</si>
  <si>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</si>
  <si>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</si>
  <si>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</si>
  <si>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</si>
  <si>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</si>
  <si>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</si>
  <si>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</si>
  <si>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</si>
  <si>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</si>
  <si>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</si>
  <si>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</si>
  <si>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</si>
  <si>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</si>
  <si>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</si>
  <si>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</si>
  <si>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</si>
  <si>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</si>
  <si>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</si>
  <si>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</si>
  <si>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</si>
  <si>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</si>
  <si>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</si>
  <si>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</si>
  <si>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</si>
  <si>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</si>
  <si>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</si>
  <si>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</si>
  <si>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</si>
  <si>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</si>
  <si>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</si>
  <si>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</si>
  <si>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</si>
  <si>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</si>
  <si>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</si>
  <si>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</si>
  <si>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</si>
  <si>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</si>
  <si>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</si>
  <si>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</si>
  <si>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</si>
  <si>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</si>
  <si>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</si>
  <si>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</si>
  <si>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</si>
  <si>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</si>
  <si>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</si>
  <si>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</si>
  <si>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</si>
  <si>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</si>
  <si>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</si>
  <si>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</si>
  <si>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</si>
  <si>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</si>
  <si>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</si>
  <si>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</si>
  <si>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</si>
  <si>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</si>
  <si>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</si>
  <si>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</si>
  <si>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</si>
  <si>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</si>
  <si>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</si>
  <si>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</si>
  <si>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</si>
  <si>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</si>
  <si>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</si>
  <si>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</si>
  <si>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</si>
  <si>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</si>
  <si>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</si>
  <si>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</si>
  <si>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</si>
  <si>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</si>
  <si>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</si>
  <si>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</si>
  <si>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</si>
  <si>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</si>
  <si>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</si>
  <si>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</si>
  <si>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</si>
  <si>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</si>
  <si>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</si>
  <si>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</si>
  <si>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</si>
  <si>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</si>
  <si>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</si>
  <si>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</si>
  <si>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</si>
  <si>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</si>
  <si>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</si>
  <si>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</si>
  <si>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</si>
  <si>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</si>
  <si>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</si>
  <si>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</si>
  <si>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</si>
  <si>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</si>
  <si>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</si>
  <si>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</si>
  <si>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</si>
  <si>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</si>
  <si>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</si>
  <si>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</si>
  <si>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</si>
  <si>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</si>
  <si>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</si>
  <si>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</si>
  <si>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</si>
  <si>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</si>
  <si>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</si>
  <si>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</si>
  <si>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</si>
  <si>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</si>
  <si>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</si>
  <si>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</si>
  <si>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</si>
  <si>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</si>
  <si>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</si>
  <si>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</si>
  <si>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</si>
  <si>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</si>
  <si>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</si>
  <si>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</si>
  <si>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</si>
  <si>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</si>
  <si>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</si>
  <si>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</si>
  <si>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</si>
  <si>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</si>
  <si>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</si>
  <si>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</si>
  <si>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</si>
  <si>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</si>
  <si>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</si>
  <si>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</si>
  <si>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</si>
  <si>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</si>
  <si>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</si>
  <si>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</si>
  <si>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</si>
  <si>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</si>
  <si>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</si>
  <si>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</si>
  <si>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</si>
  <si>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</si>
  <si>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</si>
  <si>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</si>
  <si>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</si>
  <si>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</si>
  <si>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</si>
  <si>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</si>
  <si>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</si>
  <si>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</si>
  <si>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</si>
  <si>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</si>
  <si>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</si>
  <si>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</si>
  <si>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</si>
  <si>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</si>
  <si>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</si>
  <si>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</si>
  <si>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</si>
  <si>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</si>
  <si>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</si>
  <si>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</si>
  <si>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</si>
  <si>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</si>
  <si>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</si>
  <si>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</si>
  <si>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</si>
  <si>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</si>
  <si>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</si>
  <si>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</si>
  <si>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</si>
  <si>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</si>
  <si>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</si>
  <si>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</si>
  <si>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</si>
  <si>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</si>
  <si>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</si>
  <si>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</si>
  <si>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</si>
  <si>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</si>
  <si>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</si>
  <si>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</si>
  <si>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</si>
  <si>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</si>
  <si>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</si>
  <si>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</si>
  <si>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</si>
  <si>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</si>
  <si>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</si>
  <si>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</si>
  <si>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</si>
  <si>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</si>
  <si>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</si>
  <si>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</si>
  <si>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</si>
  <si>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</si>
  <si>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</si>
  <si>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</si>
  <si>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</si>
  <si>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</si>
  <si>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</si>
  <si>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</si>
  <si>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</si>
  <si>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</si>
  <si>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</si>
  <si>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</si>
  <si>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</si>
  <si>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</si>
  <si>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</si>
  <si>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</si>
  <si>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</si>
  <si>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</si>
  <si>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</si>
  <si>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</si>
  <si>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</si>
  <si>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</si>
  <si>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</si>
  <si>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</si>
  <si>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</si>
  <si>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</si>
  <si>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</si>
  <si>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</si>
  <si>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</si>
  <si>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</si>
  <si>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</si>
  <si>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</si>
  <si>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</si>
  <si>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</si>
  <si>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</si>
  <si>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</si>
  <si>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</si>
  <si>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</si>
  <si>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</si>
  <si>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</si>
  <si>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</si>
  <si>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</si>
  <si>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</si>
  <si>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</si>
  <si>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</si>
  <si>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</si>
  <si>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</si>
  <si>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</si>
  <si>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</si>
  <si>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</si>
  <si>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</si>
  <si>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</si>
  <si>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</si>
  <si>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</si>
  <si>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</si>
  <si>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</si>
  <si>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</si>
  <si>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</si>
  <si>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</si>
  <si>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</si>
  <si>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</si>
  <si>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</si>
  <si>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</si>
  <si>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</si>
  <si>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</si>
  <si>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</si>
  <si>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</si>
  <si>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</si>
  <si>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</si>
  <si>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</si>
  <si>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</si>
  <si>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</si>
  <si>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</si>
  <si>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</si>
  <si>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</si>
  <si>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</si>
  <si>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</si>
  <si>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</si>
  <si>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</si>
  <si>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</si>
  <si>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</si>
  <si>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</si>
  <si>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</si>
  <si>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</si>
  <si>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</si>
  <si>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</si>
  <si>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</si>
  <si>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</si>
  <si>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</si>
  <si>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</si>
  <si>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</si>
  <si>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</si>
  <si>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</si>
  <si>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</si>
  <si>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</si>
  <si>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</si>
  <si>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</si>
  <si>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</si>
  <si>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</si>
  <si>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</si>
  <si>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</si>
  <si>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</si>
  <si>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</si>
  <si>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</si>
  <si>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</si>
  <si>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</si>
  <si>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</si>
  <si>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</si>
  <si>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</si>
  <si>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</si>
  <si>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</si>
  <si>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</si>
  <si>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</si>
  <si>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</si>
  <si>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</si>
  <si>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</si>
  <si>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</si>
  <si>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</si>
  <si>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</si>
  <si>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</si>
  <si>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</si>
  <si>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</si>
  <si>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</si>
  <si>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</si>
  <si>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</si>
  <si>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</si>
  <si>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</si>
  <si>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</si>
  <si>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</si>
  <si>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</si>
  <si>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</si>
  <si>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</si>
  <si>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</si>
  <si>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</si>
  <si>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</si>
  <si>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</si>
  <si>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</si>
  <si>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</si>
  <si>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</si>
  <si>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</si>
  <si>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</si>
  <si>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</si>
  <si>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</si>
  <si>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</si>
  <si>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</si>
  <si>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</si>
  <si>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</si>
  <si>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</si>
  <si>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</si>
  <si>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</si>
  <si>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</si>
  <si>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</si>
  <si>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</si>
  <si>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</si>
  <si>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</si>
  <si>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</si>
  <si>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</si>
  <si>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</si>
  <si>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</si>
  <si>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</si>
  <si>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</si>
  <si>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</si>
  <si>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</si>
  <si>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</si>
  <si>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</si>
  <si>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</si>
  <si>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</si>
  <si>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</si>
  <si>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</si>
  <si>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</si>
  <si>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</si>
  <si>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</si>
  <si>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</si>
  <si>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</si>
  <si>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</si>
  <si>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</si>
  <si>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</si>
  <si>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</si>
  <si>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</si>
  <si>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</si>
  <si>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</si>
  <si>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</si>
  <si>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</si>
  <si>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</si>
  <si>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</si>
  <si>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</si>
  <si>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</si>
  <si>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</si>
  <si>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</si>
  <si>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</si>
  <si>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</si>
  <si>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</si>
  <si>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</si>
  <si>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</si>
  <si>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</si>
  <si>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</si>
  <si>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</si>
  <si>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</si>
  <si>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</si>
  <si>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</si>
  <si>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</si>
  <si>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</si>
  <si>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</si>
  <si>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</si>
  <si>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</si>
  <si>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</si>
  <si>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</si>
  <si>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</si>
  <si>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</si>
  <si>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</si>
  <si>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</si>
  <si>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</si>
  <si>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</si>
  <si>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</si>
  <si>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</si>
  <si>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</si>
  <si>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</si>
  <si>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</si>
  <si>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</si>
  <si>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</si>
  <si>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</si>
  <si>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</si>
  <si>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</si>
  <si>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</si>
  <si>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</si>
  <si>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</si>
  <si>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</si>
  <si>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</si>
  <si>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</si>
  <si>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</si>
  <si>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</si>
  <si>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</si>
  <si>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</si>
  <si>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</si>
  <si>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</si>
  <si>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</si>
  <si>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</si>
  <si>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</si>
  <si>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</si>
  <si>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</si>
  <si>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</si>
  <si>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</si>
  <si>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</si>
  <si>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</si>
  <si>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</si>
  <si>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</si>
  <si>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</si>
  <si>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</si>
  <si>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</si>
  <si>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</si>
  <si>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</si>
  <si>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</si>
  <si>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</si>
  <si>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</si>
  <si>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</si>
  <si>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</si>
  <si>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</si>
  <si>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</si>
  <si>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</si>
  <si>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</si>
  <si>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</si>
  <si>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</si>
  <si>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</si>
  <si>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</si>
  <si>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</si>
  <si>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</si>
  <si>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</si>
  <si>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</si>
  <si>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</si>
  <si>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</si>
  <si>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</si>
  <si>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</si>
  <si>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</si>
  <si>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</si>
  <si>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</si>
  <si>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</si>
  <si>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</si>
  <si>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</si>
  <si>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</si>
  <si>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</si>
  <si>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</si>
  <si>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</si>
  <si>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</si>
  <si>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</si>
  <si>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</si>
  <si>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</si>
  <si>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</si>
  <si>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</si>
  <si>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</si>
  <si>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</si>
  <si>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</si>
  <si>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</si>
  <si>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</si>
  <si>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</si>
  <si>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</si>
  <si>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</si>
  <si>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</si>
  <si>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</si>
  <si>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</si>
  <si>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</si>
  <si>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</si>
  <si>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</si>
  <si>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</si>
  <si>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</si>
  <si>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</si>
  <si>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</si>
  <si>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</si>
  <si>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</si>
  <si>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</si>
  <si>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</si>
  <si>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</si>
  <si>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</si>
  <si>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</si>
  <si>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</si>
  <si>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</si>
  <si>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</si>
  <si>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</si>
  <si>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</si>
  <si>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</si>
  <si>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</si>
  <si>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</si>
  <si>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</si>
  <si>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</si>
  <si>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</si>
  <si>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</si>
  <si>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</si>
  <si>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</si>
  <si>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</si>
  <si>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</si>
  <si>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</si>
  <si>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</si>
  <si>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</si>
  <si>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</si>
  <si>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</si>
  <si>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</si>
  <si>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</si>
  <si>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</si>
  <si>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</si>
  <si>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</si>
  <si>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</si>
  <si>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</si>
  <si>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</si>
  <si>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</si>
  <si>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</si>
  <si>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</si>
  <si>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</si>
  <si>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</si>
  <si>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</si>
  <si>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</si>
  <si>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</si>
  <si>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</si>
  <si>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</si>
  <si>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</si>
  <si>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</si>
  <si>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</si>
  <si>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</si>
  <si>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</si>
  <si>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</si>
  <si>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</si>
  <si>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</si>
  <si>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</si>
  <si>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</si>
  <si>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</si>
  <si>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</si>
  <si>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</si>
  <si>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</si>
  <si>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</si>
  <si>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</si>
  <si>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</si>
  <si>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</si>
  <si>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</si>
  <si>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</si>
  <si>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</si>
  <si>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</si>
  <si>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</si>
  <si>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</si>
  <si>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</si>
  <si>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</si>
  <si>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</si>
  <si>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</si>
  <si>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</si>
  <si>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</si>
  <si>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</si>
  <si>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</si>
  <si>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</si>
  <si>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</si>
  <si>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</si>
  <si>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</si>
  <si>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</si>
  <si>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</si>
  <si>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</si>
  <si>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</si>
  <si>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</si>
  <si>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</si>
  <si>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</si>
  <si>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</si>
  <si>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</si>
  <si>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</si>
  <si>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</si>
  <si>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</si>
  <si>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</si>
  <si>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</si>
  <si>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</si>
  <si>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</si>
  <si>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</si>
  <si>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</si>
  <si>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</si>
  <si>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</si>
  <si>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</si>
  <si>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</si>
  <si>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</si>
  <si>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</si>
  <si>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</si>
  <si>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</si>
  <si>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</si>
  <si>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</si>
  <si>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</si>
  <si>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</si>
  <si>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</si>
  <si>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</si>
  <si>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</si>
  <si>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</si>
  <si>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</si>
  <si>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</si>
  <si>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</si>
  <si>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</si>
  <si>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</si>
  <si>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</si>
  <si>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</si>
  <si>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</si>
  <si>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</si>
  <si>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</si>
  <si>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</si>
  <si>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</si>
  <si>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</si>
  <si>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</si>
  <si>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</si>
  <si>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</si>
  <si>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</si>
  <si>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</si>
  <si>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</si>
  <si>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</si>
  <si>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</si>
  <si>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</si>
  <si>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</si>
  <si>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</si>
  <si>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</si>
  <si>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</si>
  <si>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</si>
  <si>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</si>
  <si>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</si>
  <si>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</si>
  <si>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</si>
  <si>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</si>
  <si>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</si>
  <si>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</si>
  <si>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</si>
  <si>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</si>
  <si>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</si>
  <si>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</si>
  <si>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</si>
  <si>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</si>
  <si>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</si>
  <si>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</si>
  <si>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</si>
  <si>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</si>
  <si>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</si>
  <si>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</si>
  <si>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</si>
  <si>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</si>
  <si>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</si>
  <si>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</si>
  <si>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</si>
  <si>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</si>
  <si>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</si>
  <si>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</si>
  <si>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</si>
  <si>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</si>
  <si>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</si>
  <si>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</si>
  <si>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</si>
  <si>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</si>
  <si>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</si>
  <si>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</si>
  <si>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</si>
  <si>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</si>
  <si>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</si>
  <si>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</si>
  <si>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</si>
  <si>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</si>
  <si>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</si>
  <si>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</si>
  <si>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</si>
  <si>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</si>
  <si>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</si>
  <si>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</si>
  <si>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</si>
  <si>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</si>
  <si>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</si>
  <si>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</si>
  <si>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</si>
  <si>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</si>
  <si>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</si>
  <si>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</si>
  <si>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</si>
  <si>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</si>
  <si>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</si>
  <si>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</si>
  <si>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</si>
  <si>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</si>
  <si>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</si>
  <si>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</si>
  <si>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</si>
  <si>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</si>
  <si>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</si>
  <si>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</si>
  <si>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</si>
  <si>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</si>
  <si>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</si>
  <si>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</si>
  <si>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</si>
  <si>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</si>
  <si>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</si>
  <si>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</si>
  <si>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</si>
  <si>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</si>
  <si>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</si>
  <si>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</si>
  <si>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</si>
  <si>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</si>
  <si>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</si>
  <si>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</si>
  <si>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</si>
  <si>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</si>
  <si>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</si>
  <si>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</si>
  <si>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</si>
  <si>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</si>
  <si>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</si>
  <si>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</si>
  <si>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</si>
  <si>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</si>
  <si>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</si>
  <si>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</si>
  <si>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</si>
  <si>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</si>
  <si>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</si>
  <si>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</si>
  <si>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</si>
  <si>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</si>
  <si>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</si>
  <si>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</si>
  <si>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</si>
  <si>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</si>
  <si>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</si>
  <si>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</si>
  <si>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</si>
  <si>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</si>
  <si>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</si>
  <si>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</si>
  <si>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</si>
  <si>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</si>
  <si>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</si>
  <si>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</si>
  <si>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</si>
  <si>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</si>
  <si>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</si>
  <si>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</si>
  <si>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</si>
  <si>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</si>
  <si>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</si>
  <si>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</si>
  <si>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</si>
  <si>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</si>
  <si>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</si>
  <si>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</si>
  <si>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</si>
  <si>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</si>
  <si>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</si>
  <si>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</si>
  <si>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</si>
  <si>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</si>
  <si>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</si>
  <si>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</si>
  <si>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</si>
  <si>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</si>
  <si>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</si>
  <si>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</si>
  <si>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</si>
  <si>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</si>
  <si>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</si>
  <si>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</si>
  <si>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</si>
  <si>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</si>
  <si>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</si>
  <si>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</si>
  <si>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</si>
  <si>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</si>
  <si>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</si>
  <si>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</si>
  <si>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</si>
  <si>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</si>
  <si>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</si>
  <si>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</si>
  <si>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</si>
  <si>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</si>
  <si>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</si>
  <si>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</si>
  <si>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</si>
  <si>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</si>
  <si>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</si>
  <si>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</si>
  <si>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</si>
  <si>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</si>
  <si>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</si>
  <si>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</si>
  <si>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</si>
  <si>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</si>
  <si>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</si>
  <si>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</si>
  <si>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</si>
  <si>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</si>
  <si>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</si>
  <si>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</si>
  <si>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</si>
  <si>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</si>
  <si>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</si>
  <si>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</si>
  <si>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</si>
  <si>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</si>
  <si>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</si>
  <si>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</si>
  <si>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</si>
  <si>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</si>
  <si>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</si>
  <si>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</si>
  <si>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</si>
  <si>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</si>
  <si>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</si>
  <si>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</si>
  <si>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</si>
  <si>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</si>
  <si>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</si>
  <si>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</si>
  <si>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</si>
  <si>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</si>
  <si>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</si>
  <si>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</si>
  <si>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</si>
  <si>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</si>
  <si>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</si>
  <si>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</si>
  <si>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</si>
  <si>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</si>
  <si>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</si>
  <si>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VALENCIA</t>
  </si>
  <si>
    <t>Resumenes por Partidos Judiciales</t>
  </si>
  <si>
    <t>MONCADA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</si>
</sst>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JVPoqTXoL32F8ypLM+bcsvFeSi8QSoOaZDseNyFJfEXB64Awsex/r0BQVpTbnmfmMW7AZQg+gmtJE6DhDXTJQ==" saltValue="+8CKIALSQfScb5l0zmAZ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23</v>
      </c>
      <c r="D10" s="239">
        <f>IF(ISNUMBER(Datos!I10),Datos!I10," - ")</f>
        <v>23</v>
      </c>
      <c r="E10" s="240">
        <f>IF(ISNUMBER(Datos!J10),Datos!J10," - ")</f>
        <v>33</v>
      </c>
      <c r="F10" s="240">
        <f>IF(ISNUMBER(Datos!K10),Datos!K10," - ")</f>
        <v>25</v>
      </c>
      <c r="G10" s="1390" t="str">
        <f>IF(Datos!E10&lt;&gt;"",Datos!E10,Datos!D10)</f>
        <v>37</v>
      </c>
      <c r="H10" s="241">
        <f>IF(ISNUMBER(Datos!L10),Datos!L10," - ")</f>
        <v>31</v>
      </c>
      <c r="I10" s="1400" t="str">
        <f>IF(ISNUMBER(Datos!AS10/Datos!BM10),Datos!AS10/Datos!BM10," - ")</f>
        <v xml:space="preserve"> - </v>
      </c>
      <c r="J10" s="1401">
        <f>IF(ISNUMBER(Datos!BY10/Datos!CN10),Datos!BY10/Datos!CN10," - ")</f>
        <v>0</v>
      </c>
      <c r="K10" s="244">
        <f t="shared" ref="K10:K13" si="1">IF(ISNUMBER((E10-F10)/C10),(E10-F10)/C10," - ")</f>
        <v>0.34782608695652173</v>
      </c>
      <c r="L10" s="1402">
        <f>IF(ISNUMBER(NºAsuntos!I10/NºAsuntos!G10),(NºAsuntos!I10/NºAsuntos!G10)*11," - ")</f>
        <v>13.64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7.0506983962752203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23</v>
      </c>
      <c r="D14" s="1407">
        <f>SUBTOTAL(9,D9:D13)</f>
        <v>23</v>
      </c>
      <c r="E14" s="1408">
        <f>SUBTOTAL(9,E9:E13)</f>
        <v>33</v>
      </c>
      <c r="F14" s="1409">
        <f>SUBTOTAL(9,F9:F13)</f>
        <v>25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856</v>
      </c>
      <c r="D17" s="239">
        <f>IF(ISNUMBER(IF(D_I="SI",Datos!I17,Datos!I17+Datos!AC17)),IF(D_I="SI",Datos!I17,Datos!I17+Datos!AC17)," - ")</f>
        <v>834</v>
      </c>
      <c r="E17" s="240">
        <f>IF(ISNUMBER(IF(D_I="SI",Datos!J17,Datos!J17+Datos!AD17)),IF(D_I="SI",Datos!J17,Datos!J17+Datos!AD17)," - ")</f>
        <v>3555</v>
      </c>
      <c r="F17" s="240">
        <f>IF(ISNUMBER(IF(D_I="SI",Datos!K17,Datos!K17+Datos!AE17)),IF(D_I="SI",Datos!K17,Datos!K17+Datos!AE17)," - ")</f>
        <v>3573</v>
      </c>
      <c r="G17" s="1390" t="str">
        <f>IF(Datos!E17&lt;&gt;"",Datos!E17,Datos!D17)</f>
        <v>04</v>
      </c>
      <c r="H17" s="241">
        <f>IF(ISNUMBER(IF(D_I="SI",Datos!L17,Datos!L17+Datos!AF17)),IF(D_I="SI",Datos!L17,Datos!L17+Datos!AF17)," - ")</f>
        <v>838</v>
      </c>
      <c r="I17" s="1400" t="str">
        <f>IF(ISNUMBER(Datos!AS17/Datos!BM17),Datos!AS17/Datos!BM17," - ")</f>
        <v xml:space="preserve"> - </v>
      </c>
      <c r="J17" s="1401">
        <f>IF(ISNUMBER(Datos!BY17/Datos!CN17),Datos!BY17/Datos!CN17," - ")</f>
        <v>0</v>
      </c>
      <c r="K17" s="244">
        <f t="shared" si="3"/>
        <v>-2.1028037383177569E-2</v>
      </c>
      <c r="L17" s="1402">
        <f>IF(ISNUMBER(NºAsuntos!I17/NºAsuntos!G17),(NºAsuntos!I17/NºAsuntos!G17)*11," - ")</f>
        <v>2.5799048418695776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150</v>
      </c>
      <c r="D18" s="239">
        <f>IF(ISNUMBER(IF(D_I="SI",Datos!I18,Datos!I18+Datos!AC18)),IF(D_I="SI",Datos!I18,Datos!I18+Datos!AC18)," - ")</f>
        <v>150</v>
      </c>
      <c r="E18" s="240">
        <f>IF(ISNUMBER(IF(D_I="SI",Datos!J18,Datos!J18+Datos!AD18)),IF(D_I="SI",Datos!J18,Datos!J18+Datos!AD18)," - ")</f>
        <v>433</v>
      </c>
      <c r="F18" s="240">
        <f>IF(ISNUMBER(IF(D_I="SI",Datos!K18,Datos!K18+Datos!AE18)),IF(D_I="SI",Datos!K18,Datos!K18+Datos!AE18)," - ")</f>
        <v>448</v>
      </c>
      <c r="G18" s="1390" t="str">
        <f>IF(Datos!E18&lt;&gt;"",Datos!E18,Datos!D18)</f>
        <v>37</v>
      </c>
      <c r="H18" s="241">
        <f>IF(ISNUMBER(IF(D_I="SI",Datos!L18,Datos!L18+Datos!AF18)),IF(D_I="SI",Datos!L18,Datos!L18+Datos!AF18)," - ")</f>
        <v>135</v>
      </c>
      <c r="I18" s="1400" t="str">
        <f>IF(ISNUMBER(Datos!AS18/Datos!BM18),Datos!AS18/Datos!BM18," - ")</f>
        <v xml:space="preserve"> - </v>
      </c>
      <c r="J18" s="1401" t="str">
        <f>IF(ISNUMBER((Datos!BY18+Datos!BZ18)/Datos!CN18),(Datos!BY18+Datos!BZ18)/Datos!CN18," - ")</f>
        <v xml:space="preserve"> - </v>
      </c>
      <c r="K18" s="244">
        <f t="shared" si="3"/>
        <v>-0.1</v>
      </c>
      <c r="L18" s="1402">
        <f>IF(ISNUMBER(NºAsuntos!I18/NºAsuntos!G18),(NºAsuntos!I18/NºAsuntos!G18)*11," - ")</f>
        <v>3.3147321428571428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1006</v>
      </c>
      <c r="D23" s="1407">
        <f>SUBTOTAL(9,D16:D22)</f>
        <v>984</v>
      </c>
      <c r="E23" s="1408">
        <f>SUBTOTAL(9,E16:E22)</f>
        <v>3988</v>
      </c>
      <c r="F23" s="1408">
        <f>SUBTOTAL(9,F16:F22)</f>
        <v>4021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1029</v>
      </c>
      <c r="D31" s="1435">
        <f>SUBTOTAL(9,D9:D30)</f>
        <v>1007</v>
      </c>
      <c r="E31" s="1436">
        <f>SUBTOTAL(9,E9:E30)</f>
        <v>4021</v>
      </c>
      <c r="F31" s="1436">
        <f>SUBTOTAL(9,F9:F30)</f>
        <v>4046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wxlwsT6Z5ULW9TuZksus7mFmrSC9htVMuXw0Tb3qjmCet2NgizVujAXh1jncw2Vh0GFyqiZW7VUeaSemiRzOcw==" saltValue="ADghw2FCzEk20ejr5EBWx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x1skA4XdzrafStg7AHKUhsXQEElU6BsfcuD5shLMOjDshtTdKukKlgZY9kKvlz1NJOcjRrr3MKmH+hFXUtCw==" saltValue="GRE2MKbptb82EDZz9Mtm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23</v>
      </c>
      <c r="J10" s="194">
        <v>33</v>
      </c>
      <c r="K10" s="194">
        <v>25</v>
      </c>
      <c r="L10" s="194">
        <v>31</v>
      </c>
      <c r="M10" s="194">
        <v>10</v>
      </c>
      <c r="N10" s="194">
        <v>11</v>
      </c>
      <c r="O10" s="194">
        <v>1</v>
      </c>
      <c r="P10" s="194">
        <v>1</v>
      </c>
      <c r="Q10" s="194">
        <v>0</v>
      </c>
      <c r="R10" s="194">
        <v>9</v>
      </c>
      <c r="S10" s="194">
        <v>17</v>
      </c>
      <c r="T10" s="194">
        <v>29</v>
      </c>
      <c r="U10" s="194">
        <v>25</v>
      </c>
      <c r="V10" s="194">
        <v>23</v>
      </c>
      <c r="W10" s="194">
        <v>17</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29</v>
      </c>
      <c r="BA10" s="139">
        <f t="shared" si="0"/>
        <v>25</v>
      </c>
      <c r="BB10" s="139">
        <f t="shared" si="0"/>
        <v>23</v>
      </c>
      <c r="BC10" s="135">
        <f t="shared" si="0"/>
        <v>17</v>
      </c>
      <c r="BD10" s="136">
        <f>IF(ISNUMBER(BA10/AZ10),BA10/AZ10," - ")</f>
        <v>0.86206896551724133</v>
      </c>
      <c r="BE10" s="137">
        <f>IF(ISNUMBER(BB10/BA10),BB10/BA10, " - ")</f>
        <v>0.92</v>
      </c>
      <c r="BF10" s="137">
        <f>IF(ISNUMBER(BC10/BA10),BC10/BA10, " - ")</f>
        <v>0.68</v>
      </c>
      <c r="BG10" s="209">
        <f>IF(ISNUMBER((AY10+AZ10)/BA10),(AY10+AZ10)/BA10," - ")</f>
        <v>1.84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1924</v>
      </c>
      <c r="J12" s="196">
        <v>3916</v>
      </c>
      <c r="K12" s="196">
        <v>3524</v>
      </c>
      <c r="L12" s="196">
        <v>2339</v>
      </c>
      <c r="M12" s="196">
        <v>872</v>
      </c>
      <c r="N12" s="196">
        <v>1470</v>
      </c>
      <c r="O12" s="194">
        <v>1591</v>
      </c>
      <c r="P12" s="196">
        <v>889</v>
      </c>
      <c r="Q12" s="196">
        <v>561</v>
      </c>
      <c r="R12" s="196">
        <v>4654</v>
      </c>
      <c r="S12" s="196">
        <v>1687</v>
      </c>
      <c r="T12" s="196">
        <v>3507</v>
      </c>
      <c r="U12" s="196">
        <v>3270</v>
      </c>
      <c r="V12" s="196">
        <v>1924</v>
      </c>
      <c r="W12" s="196">
        <v>866</v>
      </c>
      <c r="X12" s="202">
        <v>1499</v>
      </c>
      <c r="Y12" s="204">
        <v>136</v>
      </c>
      <c r="Z12" s="194">
        <v>358</v>
      </c>
      <c r="AA12" s="194">
        <v>342</v>
      </c>
      <c r="AB12" s="194">
        <v>139</v>
      </c>
      <c r="AC12" s="196">
        <v>0</v>
      </c>
      <c r="AD12" s="196">
        <v>0</v>
      </c>
      <c r="AE12" s="196">
        <v>0</v>
      </c>
      <c r="AF12" s="202">
        <v>0</v>
      </c>
      <c r="AG12" s="215">
        <v>97</v>
      </c>
      <c r="AH12" s="196">
        <v>400</v>
      </c>
      <c r="AI12" s="196">
        <v>361</v>
      </c>
      <c r="AJ12" s="216">
        <v>136</v>
      </c>
      <c r="AK12" s="195">
        <v>0</v>
      </c>
      <c r="AL12" s="196">
        <v>0</v>
      </c>
      <c r="AM12" s="196">
        <v>0</v>
      </c>
      <c r="AN12" s="202">
        <v>0</v>
      </c>
      <c r="AO12" s="283">
        <v>4</v>
      </c>
      <c r="AP12" s="168">
        <v>4</v>
      </c>
      <c r="AQ12" s="168">
        <v>4</v>
      </c>
      <c r="AR12" s="167">
        <v>4</v>
      </c>
      <c r="AS12" s="381" t="s">
        <v>1075</v>
      </c>
      <c r="AT12" s="216"/>
      <c r="AU12" s="215"/>
      <c r="AV12" s="216"/>
      <c r="AW12" s="215"/>
      <c r="AX12" s="216"/>
      <c r="AY12" s="136">
        <f t="shared" si="1"/>
        <v>1784</v>
      </c>
      <c r="AZ12" s="137">
        <f t="shared" si="1"/>
        <v>3907</v>
      </c>
      <c r="BA12" s="137">
        <f t="shared" si="1"/>
        <v>3631</v>
      </c>
      <c r="BB12" s="137">
        <f t="shared" si="1"/>
        <v>2060</v>
      </c>
      <c r="BC12" s="135">
        <f>IF(ISNUMBER(X12),X12," - ")</f>
        <v>1499</v>
      </c>
      <c r="BD12" s="136">
        <f t="shared" si="2"/>
        <v>0.92935756334783726</v>
      </c>
      <c r="BE12" s="137">
        <f t="shared" si="3"/>
        <v>0.56733682181217293</v>
      </c>
      <c r="BF12" s="137">
        <f t="shared" si="4"/>
        <v>0.41283393004681906</v>
      </c>
      <c r="BG12" s="209">
        <f t="shared" si="5"/>
        <v>1.567336821812173</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1947</v>
      </c>
      <c r="J14" s="197">
        <f t="shared" si="7"/>
        <v>3949</v>
      </c>
      <c r="K14" s="197">
        <f t="shared" si="7"/>
        <v>3549</v>
      </c>
      <c r="L14" s="197">
        <f t="shared" si="7"/>
        <v>2370</v>
      </c>
      <c r="M14" s="197">
        <f t="shared" si="7"/>
        <v>882</v>
      </c>
      <c r="N14" s="197">
        <f t="shared" si="7"/>
        <v>1481</v>
      </c>
      <c r="O14" s="197">
        <f t="shared" si="7"/>
        <v>1592</v>
      </c>
      <c r="P14" s="197">
        <f t="shared" si="7"/>
        <v>890</v>
      </c>
      <c r="Q14" s="197">
        <f t="shared" si="7"/>
        <v>561</v>
      </c>
      <c r="R14" s="197">
        <f t="shared" si="7"/>
        <v>4663</v>
      </c>
      <c r="S14" s="197">
        <f t="shared" si="7"/>
        <v>1704</v>
      </c>
      <c r="T14" s="197">
        <f t="shared" si="7"/>
        <v>3536</v>
      </c>
      <c r="U14" s="197">
        <f t="shared" si="7"/>
        <v>3295</v>
      </c>
      <c r="V14" s="197">
        <f t="shared" si="7"/>
        <v>1947</v>
      </c>
      <c r="W14" s="197">
        <f t="shared" si="7"/>
        <v>883</v>
      </c>
      <c r="X14" s="197">
        <f t="shared" si="7"/>
        <v>1502</v>
      </c>
      <c r="Y14" s="197">
        <f t="shared" si="7"/>
        <v>136</v>
      </c>
      <c r="Z14" s="197">
        <f t="shared" si="7"/>
        <v>358</v>
      </c>
      <c r="AA14" s="197">
        <f t="shared" si="7"/>
        <v>342</v>
      </c>
      <c r="AB14" s="197">
        <f t="shared" si="7"/>
        <v>139</v>
      </c>
      <c r="AC14" s="197">
        <f t="shared" si="7"/>
        <v>0</v>
      </c>
      <c r="AD14" s="197">
        <f t="shared" si="7"/>
        <v>0</v>
      </c>
      <c r="AE14" s="197">
        <f t="shared" si="7"/>
        <v>0</v>
      </c>
      <c r="AF14" s="197">
        <f>SUBTOTAL(9,AF9:AF13)</f>
        <v>0</v>
      </c>
      <c r="AG14" s="197">
        <f t="shared" ref="AG14:AT14" si="8">SUBTOTAL(9,AG8:AG13)</f>
        <v>97</v>
      </c>
      <c r="AH14" s="197">
        <f t="shared" si="8"/>
        <v>400</v>
      </c>
      <c r="AI14" s="197">
        <f t="shared" si="8"/>
        <v>361</v>
      </c>
      <c r="AJ14" s="197">
        <f t="shared" si="8"/>
        <v>136</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1801</v>
      </c>
      <c r="AZ14" s="197">
        <f>SUBTOTAL(9,AZ8:AZ13)</f>
        <v>3936</v>
      </c>
      <c r="BA14" s="197">
        <f>SUBTOTAL(9,BA8:BA13)</f>
        <v>3656</v>
      </c>
      <c r="BB14" s="197">
        <f>SUBTOTAL(9,BB8:BB13)</f>
        <v>2083</v>
      </c>
      <c r="BC14" s="197">
        <f>SUBTOTAL(9,BC8:BC13)</f>
        <v>1516</v>
      </c>
      <c r="BD14" s="219">
        <f>IF(ISNUMBER(BA14/AZ14),BA14/AZ14," - ")</f>
        <v>0.92886178861788615</v>
      </c>
      <c r="BE14" s="220">
        <f>IF(ISNUMBER(BB14/BA14),BB14/BA14, " - ")</f>
        <v>0.56974835886214437</v>
      </c>
      <c r="BF14" s="220">
        <f>IF(ISNUMBER(BC14/BA14),BC14/BA14, " - ")</f>
        <v>0.41466083150984684</v>
      </c>
      <c r="BG14" s="221">
        <f>IF(ISNUMBER((AY14+AZ14)/BA14),(AY14+AZ14)/BA14," - ")</f>
        <v>1.5692013129102844</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834</v>
      </c>
      <c r="J17" s="196">
        <v>3555</v>
      </c>
      <c r="K17" s="196">
        <v>3573</v>
      </c>
      <c r="L17" s="196">
        <v>838</v>
      </c>
      <c r="M17" s="196">
        <v>455</v>
      </c>
      <c r="N17" s="196">
        <v>2266</v>
      </c>
      <c r="O17" s="194">
        <v>9</v>
      </c>
      <c r="P17" s="196">
        <v>113</v>
      </c>
      <c r="Q17" s="196">
        <v>114</v>
      </c>
      <c r="R17" s="196">
        <v>186</v>
      </c>
      <c r="S17" s="196">
        <v>899</v>
      </c>
      <c r="T17" s="196">
        <v>3525</v>
      </c>
      <c r="U17" s="196">
        <v>3617</v>
      </c>
      <c r="V17" s="196">
        <v>834</v>
      </c>
      <c r="W17" s="196">
        <v>452</v>
      </c>
      <c r="X17" s="202">
        <v>2164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899</v>
      </c>
      <c r="AZ17" s="137">
        <f t="shared" si="10"/>
        <v>3525</v>
      </c>
      <c r="BA17" s="137">
        <f t="shared" si="10"/>
        <v>3617</v>
      </c>
      <c r="BB17" s="137">
        <f t="shared" si="10"/>
        <v>834</v>
      </c>
      <c r="BC17" s="135">
        <f>IF(ISNUMBER(W17),W17," - ")</f>
        <v>452</v>
      </c>
      <c r="BD17" s="136">
        <f t="shared" ref="BD17:BD22" si="12">IF(ISNUMBER(BA17/AZ17),BA17/AZ17," - ")</f>
        <v>1.0260992907801418</v>
      </c>
      <c r="BE17" s="137">
        <f t="shared" ref="BE17:BE22" si="13">IF(ISNUMBER(BB17/BA17),BB17/BA17, " - ")</f>
        <v>0.23057782692839371</v>
      </c>
      <c r="BF17" s="137">
        <f t="shared" ref="BF17:BF22" si="14">IF(ISNUMBER(BC17/BA17),BC17/BA17, " - ")</f>
        <v>0.1249654409731822</v>
      </c>
      <c r="BG17" s="209">
        <f t="shared" si="11"/>
        <v>1.2231130771357479</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150</v>
      </c>
      <c r="J18" s="196">
        <v>433</v>
      </c>
      <c r="K18" s="196">
        <v>448</v>
      </c>
      <c r="L18" s="196">
        <v>135</v>
      </c>
      <c r="M18" s="196">
        <v>37</v>
      </c>
      <c r="N18" s="196">
        <v>236</v>
      </c>
      <c r="O18" s="196">
        <v>0</v>
      </c>
      <c r="P18" s="196">
        <v>0</v>
      </c>
      <c r="Q18" s="196">
        <v>0</v>
      </c>
      <c r="R18" s="196">
        <v>0</v>
      </c>
      <c r="S18" s="196">
        <v>98</v>
      </c>
      <c r="T18" s="196">
        <v>440</v>
      </c>
      <c r="U18" s="196">
        <v>419</v>
      </c>
      <c r="V18" s="196">
        <v>150</v>
      </c>
      <c r="W18" s="196">
        <v>32</v>
      </c>
      <c r="X18" s="202">
        <v>263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98</v>
      </c>
      <c r="AZ18" s="139">
        <f t="shared" si="15"/>
        <v>440</v>
      </c>
      <c r="BA18" s="139">
        <f t="shared" si="15"/>
        <v>419</v>
      </c>
      <c r="BB18" s="139">
        <f t="shared" si="15"/>
        <v>150</v>
      </c>
      <c r="BC18" s="135">
        <f>IF(ISNUMBER(W18),W18," - ")</f>
        <v>32</v>
      </c>
      <c r="BD18" s="136">
        <f>IF(ISNUMBER(BA18/AZ18),BA18/AZ18," - ")</f>
        <v>0.95227272727272727</v>
      </c>
      <c r="BE18" s="137">
        <f>IF(ISNUMBER(BB18/BA18),BB18/BA18, " - ")</f>
        <v>0.35799522673031026</v>
      </c>
      <c r="BF18" s="137">
        <f>IF(ISNUMBER(BC18/BA18),BC18/BA18, " - ")</f>
        <v>7.6372315035799526E-2</v>
      </c>
      <c r="BG18" s="209">
        <f>IF(ISNUMBER((AY18+AZ18)/BA18),(AY18+AZ18)/BA18," - ")</f>
        <v>1.2840095465393795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984</v>
      </c>
      <c r="J23" s="197">
        <f t="shared" si="21"/>
        <v>3988</v>
      </c>
      <c r="K23" s="197">
        <f t="shared" si="21"/>
        <v>4021</v>
      </c>
      <c r="L23" s="197">
        <f t="shared" si="21"/>
        <v>973</v>
      </c>
      <c r="M23" s="197">
        <f t="shared" si="21"/>
        <v>492</v>
      </c>
      <c r="N23" s="197">
        <f t="shared" si="21"/>
        <v>2502</v>
      </c>
      <c r="O23" s="197">
        <f t="shared" si="21"/>
        <v>9</v>
      </c>
      <c r="P23" s="197">
        <f t="shared" si="21"/>
        <v>113</v>
      </c>
      <c r="Q23" s="197">
        <f t="shared" si="21"/>
        <v>114</v>
      </c>
      <c r="R23" s="197">
        <f t="shared" si="21"/>
        <v>186</v>
      </c>
      <c r="S23" s="197">
        <f t="shared" si="21"/>
        <v>997</v>
      </c>
      <c r="T23" s="197">
        <f t="shared" si="21"/>
        <v>3965</v>
      </c>
      <c r="U23" s="197">
        <f t="shared" si="21"/>
        <v>4036</v>
      </c>
      <c r="V23" s="197">
        <f t="shared" si="21"/>
        <v>984</v>
      </c>
      <c r="W23" s="197">
        <f t="shared" si="21"/>
        <v>484</v>
      </c>
      <c r="X23" s="197">
        <f t="shared" si="21"/>
        <v>2427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997</v>
      </c>
      <c r="AZ23" s="197">
        <f>SUBTOTAL(9,AZ15:AZ22)</f>
        <v>3965</v>
      </c>
      <c r="BA23" s="197">
        <f>SUBTOTAL(9,BA15:BA22)</f>
        <v>4036</v>
      </c>
      <c r="BB23" s="197">
        <f>SUBTOTAL(9,BB15:BB22)</f>
        <v>984</v>
      </c>
      <c r="BC23" s="197">
        <f>SUBTOTAL(9,BC15:BC22)</f>
        <v>484</v>
      </c>
      <c r="BD23" s="219">
        <f>IF(ISNUMBER(BA23/AZ23),BA23/AZ23," - ")</f>
        <v>1.017906683480454</v>
      </c>
      <c r="BE23" s="220">
        <f>IF(ISNUMBER(BB23/BA23),BB23/BA23, " - ")</f>
        <v>0.24380574826560952</v>
      </c>
      <c r="BF23" s="220">
        <f>IF(ISNUMBER(BC23/BA23),BC23/BA23, " - ")</f>
        <v>0.11992071357779981</v>
      </c>
      <c r="BG23" s="221">
        <f>IF(ISNUMBER((AY23+AZ23)/BA23),(AY23+AZ23)/BA23," - ")</f>
        <v>1.2294350842418236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2931</v>
      </c>
      <c r="J31" s="144">
        <f t="shared" si="36"/>
        <v>7937</v>
      </c>
      <c r="K31" s="144">
        <f t="shared" si="36"/>
        <v>7570</v>
      </c>
      <c r="L31" s="144">
        <f t="shared" si="36"/>
        <v>3343</v>
      </c>
      <c r="M31" s="144">
        <f t="shared" si="36"/>
        <v>1374</v>
      </c>
      <c r="N31" s="144">
        <f t="shared" si="36"/>
        <v>3983</v>
      </c>
      <c r="O31" s="144">
        <f t="shared" si="36"/>
        <v>1601</v>
      </c>
      <c r="P31" s="144">
        <f t="shared" si="36"/>
        <v>1003</v>
      </c>
      <c r="Q31" s="144">
        <f t="shared" si="36"/>
        <v>675</v>
      </c>
      <c r="R31" s="144">
        <f t="shared" si="36"/>
        <v>4849</v>
      </c>
      <c r="S31" s="144">
        <f t="shared" si="36"/>
        <v>2701</v>
      </c>
      <c r="T31" s="144">
        <f t="shared" si="36"/>
        <v>7501</v>
      </c>
      <c r="U31" s="144">
        <f t="shared" si="36"/>
        <v>7331</v>
      </c>
      <c r="V31" s="144">
        <f t="shared" si="36"/>
        <v>2931</v>
      </c>
      <c r="W31" s="144">
        <f t="shared" si="36"/>
        <v>1367</v>
      </c>
      <c r="X31" s="144">
        <f t="shared" si="36"/>
        <v>3929</v>
      </c>
      <c r="Y31" s="144">
        <f t="shared" si="36"/>
        <v>136</v>
      </c>
      <c r="Z31" s="144">
        <f t="shared" si="36"/>
        <v>358</v>
      </c>
      <c r="AA31" s="144">
        <f t="shared" si="36"/>
        <v>342</v>
      </c>
      <c r="AB31" s="144">
        <f t="shared" si="36"/>
        <v>139</v>
      </c>
      <c r="AC31" s="144">
        <f t="shared" si="36"/>
        <v>0</v>
      </c>
      <c r="AD31" s="144">
        <f t="shared" si="36"/>
        <v>0</v>
      </c>
      <c r="AE31" s="144">
        <f t="shared" si="36"/>
        <v>0</v>
      </c>
      <c r="AF31" s="144">
        <f t="shared" si="36"/>
        <v>0</v>
      </c>
      <c r="AG31" s="144">
        <f t="shared" si="36"/>
        <v>97</v>
      </c>
      <c r="AH31" s="144">
        <f t="shared" si="36"/>
        <v>400</v>
      </c>
      <c r="AI31" s="144">
        <f t="shared" si="36"/>
        <v>361</v>
      </c>
      <c r="AJ31" s="144">
        <f t="shared" si="36"/>
        <v>136</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2798</v>
      </c>
      <c r="AZ31" s="144">
        <f>SUBTOTAL(9,AZ9:AZ30)</f>
        <v>7901</v>
      </c>
      <c r="BA31" s="144">
        <f>SUBTOTAL(9,BA9:BA30)</f>
        <v>7692</v>
      </c>
      <c r="BB31" s="144">
        <f>SUBTOTAL(9,BB9:BB30)</f>
        <v>3067</v>
      </c>
      <c r="BC31" s="145">
        <f>SUBTOTAL(9,BC9:BC30)</f>
        <v>2000</v>
      </c>
      <c r="BD31" s="227">
        <f>IF(ISNUMBER(BA31/AZ31),BA31/AZ31," - ")</f>
        <v>0.97354765219592454</v>
      </c>
      <c r="BE31" s="224">
        <f>IF(ISNUMBER(BB31/BA31),BB31/BA31, " - ")</f>
        <v>0.39872594903796149</v>
      </c>
      <c r="BF31" s="224">
        <f>IF(ISNUMBER(BC31/BA31),BC31/BA31, " - ")</f>
        <v>0.26001040041601664</v>
      </c>
      <c r="BG31" s="145">
        <f>IF(ISNUMBER((AY31+AZ31)/BA31),(AY31+AZ31)/BA31," - ")</f>
        <v>1.390925637025481</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rkER8REjolzHX9xk9L/CLWRtwVyPr1Imu451++Mymxr3awkiQwxjvbxGZrpeTwvUI7Bd4V6riI40xIWfGay/A==" saltValue="2Gdv/jVlbsbvA9LkAaodV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iVxgnDBz9adOMAwvfVKqX7wUmsf4KM4Lelxg3mijnX9FSTT0D4v0pSdgyRUoFT2cRP/IeV1y9jg1op3FUX5JQ==" saltValue="rwisfMcVBHB3ZbtZjUy5c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MONCADA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23</v>
      </c>
      <c r="G10" s="543">
        <f>IF(ISNUMBER(Datos!I10),Datos!I10," - ")</f>
        <v>23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25</v>
      </c>
      <c r="AC10" s="547">
        <f>IF(ISNUMBER(Datos!Q10),Datos!Q10," - ")</f>
        <v>0</v>
      </c>
      <c r="AD10" s="549"/>
      <c r="AE10" s="563"/>
      <c r="AF10" s="551">
        <f>IF(ISNUMBER(Datos!L10),Datos!L10,"-")</f>
        <v>31</v>
      </c>
      <c r="AG10" s="549"/>
      <c r="AH10" s="549"/>
      <c r="AI10" s="549"/>
      <c r="AJ10" s="549"/>
      <c r="AK10" s="549"/>
      <c r="AL10" s="550"/>
      <c r="AM10" s="766">
        <f>IF(ISNUMBER(Datos!R10),Datos!R10," - ")</f>
        <v>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11</v>
      </c>
      <c r="BE10" s="693" t="str">
        <f>IF(ISNUMBER(Datos!BW10),Datos!BW10," - ")</f>
        <v xml:space="preserve"> - </v>
      </c>
      <c r="BF10" s="762" t="str">
        <f>IF(ISNUMBER(Datos!BX10),Datos!BX10," - ")</f>
        <v xml:space="preserve"> - </v>
      </c>
      <c r="BG10" s="763">
        <f>IF(ISNUMBER(Datos!K10/Datos!J10),Datos!K10/Datos!J10," - ")</f>
        <v>0.75757575757575757</v>
      </c>
      <c r="BH10" s="764">
        <f>IF(ISNUMBER(((Datos!L10/Datos!K10)*11)/factor_trimestre),((Datos!L10/Datos!K10)*11)/factor_trimestre," - ")</f>
        <v>13.64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358</v>
      </c>
      <c r="O12" s="549"/>
      <c r="P12" s="549"/>
      <c r="Q12" s="547">
        <f>IF(ISNUMBER(Datos!P12),Datos!P12,0)</f>
        <v>889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561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139</v>
      </c>
      <c r="AI12" s="549" t="str">
        <f>IF(ISNUMBER(Datos!CD12),Datos!CD12,"-")</f>
        <v>-</v>
      </c>
      <c r="AJ12" s="549" t="str">
        <f>IF(ISNUMBER(Datos!EN12),Datos!EN12," - ")</f>
        <v xml:space="preserve"> - </v>
      </c>
      <c r="AK12" s="549"/>
      <c r="AL12" s="550"/>
      <c r="AM12" s="766">
        <f>IF(ISNUMBER(Datos!R12),Datos!R12," - ")</f>
        <v>4654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872</v>
      </c>
      <c r="BD12" s="693">
        <f>IF(ISNUMBER(Datos!N12),Datos!N12," - ")</f>
        <v>1470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0.90453907346747775</v>
      </c>
      <c r="BH12" s="764">
        <f>IF(ISNUMBER(((IF(J_V="SI",Datos!L12/Datos!K12,(Datos!L12+Datos!AB12)/(Datos!K12+Datos!AA12)))*11)/factor_trimestre),((IF(J_V="SI",Datos!L12/Datos!K12,(Datos!L12+Datos!AB12)/(Datos!K12+Datos!AA12)))*11)/factor_trimestre," - ")</f>
        <v>7.0506983962752203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7.5820619509939902E-2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23</v>
      </c>
      <c r="G14" s="1197">
        <f t="shared" si="1"/>
        <v>23</v>
      </c>
      <c r="H14" s="1198">
        <f t="shared" si="1"/>
        <v>0</v>
      </c>
      <c r="I14" s="1197">
        <f t="shared" si="1"/>
        <v>0</v>
      </c>
      <c r="J14" s="1164">
        <f t="shared" si="1"/>
        <v>0</v>
      </c>
      <c r="K14" s="1164">
        <f t="shared" si="1"/>
        <v>0</v>
      </c>
      <c r="L14" s="1198">
        <f t="shared" si="1"/>
        <v>0</v>
      </c>
      <c r="M14" s="1198">
        <f t="shared" si="1"/>
        <v>0</v>
      </c>
      <c r="N14" s="1198">
        <f t="shared" si="1"/>
        <v>358</v>
      </c>
      <c r="O14" s="1199">
        <f t="shared" si="1"/>
        <v>0</v>
      </c>
      <c r="P14" s="1199">
        <f t="shared" si="1"/>
        <v>0</v>
      </c>
      <c r="Q14" s="1198">
        <f t="shared" si="1"/>
        <v>890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25</v>
      </c>
      <c r="AC14" s="1198">
        <f t="shared" si="2"/>
        <v>561</v>
      </c>
      <c r="AD14" s="1198">
        <f t="shared" si="2"/>
        <v>0</v>
      </c>
      <c r="AE14" s="1198">
        <f t="shared" si="2"/>
        <v>0</v>
      </c>
      <c r="AF14" s="1198">
        <f t="shared" si="2"/>
        <v>31</v>
      </c>
      <c r="AG14" s="1198">
        <f t="shared" si="2"/>
        <v>0</v>
      </c>
      <c r="AH14" s="1198">
        <f t="shared" si="2"/>
        <v>139</v>
      </c>
      <c r="AI14" s="1198">
        <f t="shared" si="2"/>
        <v>0</v>
      </c>
      <c r="AJ14" s="1198">
        <f t="shared" si="2"/>
        <v>0</v>
      </c>
      <c r="AK14" s="1198">
        <f t="shared" si="2"/>
        <v>0</v>
      </c>
      <c r="AL14" s="1198">
        <f t="shared" si="2"/>
        <v>0</v>
      </c>
      <c r="AM14" s="1198">
        <f t="shared" si="2"/>
        <v>4663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882</v>
      </c>
      <c r="BD14" s="1198">
        <f t="shared" si="2"/>
        <v>1481</v>
      </c>
      <c r="BE14" s="1198">
        <f t="shared" si="2"/>
        <v>0</v>
      </c>
      <c r="BF14" s="1198">
        <f t="shared" si="2"/>
        <v>0</v>
      </c>
      <c r="BG14" s="1198">
        <f>IF(ISNUMBER(Datos!K14/Datos!J14),Datos!K14/Datos!J14," - ")</f>
        <v>0.89870853380602689</v>
      </c>
      <c r="BH14" s="1202">
        <f>IF(ISNUMBER(((Datos!L14/Datos!K14)*11)/factor_trimestre),((Datos!L14/Datos!K14)*11)/factor_trimestre," - ")</f>
        <v>7.3457311918850383</v>
      </c>
      <c r="BI14" s="1198">
        <f>IF(ISNUMBER('Resol  Asuntos'!D14/NºAsuntos!G14),'Resol  Asuntos'!D14/NºAsuntos!G14," - ")</f>
        <v>0.22667694680030839</v>
      </c>
      <c r="BJ14" s="1198" t="str">
        <f>IF(ISNUMBER(Datos!CI14/Datos!CJ14),Datos!CI14/Datos!CJ14," - ")</f>
        <v xml:space="preserve"> - </v>
      </c>
      <c r="BK14" s="1198">
        <f>SUBTOTAL(9,BK8:BK13)</f>
        <v>0</v>
      </c>
      <c r="BL14" s="1198">
        <f>IF(ISNUMBER((I14-AB14+L14)/(F14)),(I14-AB14+L14)/(F14)," - ")</f>
        <v>-1.0869565217391304</v>
      </c>
      <c r="BM14" s="1203">
        <f>SUBTOTAL(9,BM9:BM13)</f>
        <v>0.2008206195099399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856</v>
      </c>
      <c r="G17" s="743">
        <f>IF(ISNUMBER(IF(D_I="SI",Datos!I17,Datos!I17+Datos!AC17)),IF(D_I="SI",Datos!I17,Datos!I17+Datos!AC17)," - ")</f>
        <v>834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3573</v>
      </c>
      <c r="AC17" s="240">
        <f>IF(ISNUMBER(Datos!Q17),Datos!Q17," - ")</f>
        <v>114</v>
      </c>
      <c r="AD17" s="374"/>
      <c r="AE17" s="562"/>
      <c r="AF17" s="741">
        <f>IF(ISNUMBER(IF(D_I="SI",Datos!L17,Datos!L17+Datos!AF17)),IF(D_I="SI",Datos!L17,Datos!L17+Datos!AF17)," - ")</f>
        <v>838</v>
      </c>
      <c r="AG17" s="374"/>
      <c r="AH17" s="374"/>
      <c r="AI17" s="374"/>
      <c r="AJ17" s="549"/>
      <c r="AK17" s="374"/>
      <c r="AL17" s="545"/>
      <c r="AM17" s="375">
        <f>IF(ISNUMBER(Datos!R17),Datos!R17," - ")</f>
        <v>186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455</v>
      </c>
      <c r="BD17" s="243">
        <f>IF(ISNUMBER(Datos!N17),Datos!N17," - ")</f>
        <v>2266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1.0050632911392405</v>
      </c>
      <c r="BH17" s="764">
        <f>IF(ISNUMBER(((IF(D_I="SI",Datos!L17/Datos!K17,(Datos!L17+Datos!AF17)/(Datos!K17+Datos!AE17)))*11)/factor_trimestre),((IF(D_I="SI",Datos!L17/Datos!K17,(Datos!L17+Datos!AF17)/(Datos!K17+Datos!AE17)))*11)/factor_trimestre," - ")</f>
        <v>2.5799048418695776</v>
      </c>
      <c r="BI17" s="266">
        <f>IF(ISNUMBER('Resol  Asuntos'!D17/NºAsuntos!G17),'Resol  Asuntos'!D17/NºAsuntos!G17," - ")</f>
        <v>0.12734396865379233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448</v>
      </c>
      <c r="AC18" s="547">
        <f>IF(ISNUMBER(Datos!Q18),Datos!Q18," - ")</f>
        <v>0</v>
      </c>
      <c r="AD18" s="549"/>
      <c r="AE18" s="562"/>
      <c r="AF18" s="551">
        <f>IF(ISNUMBER(Datos!L18),Datos!L18,"-")</f>
        <v>135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37</v>
      </c>
      <c r="BD18" s="693">
        <f>IF(ISNUMBER(Datos!N18),Datos!N18," - ")</f>
        <v>236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1.0346420323325636</v>
      </c>
      <c r="BH18" s="764">
        <f>IF(ISNUMBER(((IF(D_I="SI",Datos!L18/Datos!K18,(Datos!L18+Datos!AF18)/(Datos!K18+Datos!AE18)))*11)/factor_trimestre),((IF(D_I="SI",Datos!L18/Datos!K18,(Datos!L18+Datos!AF18)/(Datos!K18+Datos!AE18)))*11)/factor_trimestre," - ")</f>
        <v>3.3147321428571428</v>
      </c>
      <c r="BI18" s="763">
        <f>IF(ISNUMBER('Resol  Asuntos'!D18/NºAsuntos!G18),'Resol  Asuntos'!D18/NºAsuntos!G18," - ")</f>
        <v>8.2589285714285712E-2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856</v>
      </c>
      <c r="G23" s="1197">
        <f>SUBTOTAL(9,G16:G22)</f>
        <v>984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4021</v>
      </c>
      <c r="AC23" s="1198">
        <f t="shared" si="5"/>
        <v>114</v>
      </c>
      <c r="AD23" s="1198">
        <f t="shared" si="5"/>
        <v>0</v>
      </c>
      <c r="AE23" s="1198">
        <f t="shared" si="5"/>
        <v>0</v>
      </c>
      <c r="AF23" s="1198">
        <f t="shared" si="5"/>
        <v>973</v>
      </c>
      <c r="AG23" s="1198">
        <f t="shared" si="5"/>
        <v>0</v>
      </c>
      <c r="AH23" s="1198">
        <f t="shared" si="5"/>
        <v>0</v>
      </c>
      <c r="AI23" s="1198">
        <f t="shared" si="5"/>
        <v>0</v>
      </c>
      <c r="AJ23" s="1198">
        <f t="shared" si="5"/>
        <v>0</v>
      </c>
      <c r="AK23" s="1198">
        <f t="shared" si="5"/>
        <v>0</v>
      </c>
      <c r="AL23" s="1198">
        <f t="shared" si="5"/>
        <v>0</v>
      </c>
      <c r="AM23" s="1198">
        <f t="shared" si="5"/>
        <v>186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492</v>
      </c>
      <c r="BD23" s="1198">
        <f t="shared" si="5"/>
        <v>2502</v>
      </c>
      <c r="BE23" s="1198">
        <f t="shared" si="5"/>
        <v>0</v>
      </c>
      <c r="BF23" s="1198">
        <f t="shared" si="5"/>
        <v>0</v>
      </c>
      <c r="BG23" s="1198">
        <f>IF(ISNUMBER(Datos!K23/Datos!J23),Datos!K23/Datos!J23," - ")</f>
        <v>1.0082748244734203</v>
      </c>
      <c r="BH23" s="1202">
        <f>IF(ISNUMBER(((Datos!L23/Datos!K23)*11)/factor_trimestre),((Datos!L23/Datos!K23)*11)/factor_trimestre," - ")</f>
        <v>2.6617756776921166</v>
      </c>
      <c r="BI23" s="1198">
        <f>SUBTOTAL(9,BI16:BI22)</f>
        <v>0.20993325436807803</v>
      </c>
      <c r="BJ23" s="1198">
        <f>SUBTOTAL(9,BJ16:BJ22)</f>
        <v>0</v>
      </c>
      <c r="BK23" s="1198">
        <f>SUBTOTAL(9,BK16:BK22)</f>
        <v>0</v>
      </c>
      <c r="BL23" s="1198">
        <f>IF(ISNUMBER((I23-AB23+L23)/(F23)),(I23-AB23+L23)/(F23)," - ")</f>
        <v>-4.6974299065420562</v>
      </c>
      <c r="BM23" s="1205">
        <f>IF(ISNUMBER((Datos!P23-Datos!Q23)/(Datos!R23-Datos!P23+Datos!Q23)),(Datos!P23-Datos!Q23)/(Datos!R23-Datos!P23+Datos!Q23)," - ")</f>
        <v>-5.3475935828877002E-3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879</v>
      </c>
      <c r="G31" s="1117">
        <f t="shared" si="18"/>
        <v>1007</v>
      </c>
      <c r="H31" s="1119">
        <f t="shared" si="18"/>
        <v>0</v>
      </c>
      <c r="I31" s="1117">
        <f t="shared" si="18"/>
        <v>0</v>
      </c>
      <c r="J31" s="1119">
        <f t="shared" si="18"/>
        <v>0</v>
      </c>
      <c r="K31" s="1119">
        <f t="shared" si="18"/>
        <v>0</v>
      </c>
      <c r="L31" s="1180">
        <f t="shared" si="18"/>
        <v>0</v>
      </c>
      <c r="M31" s="1180">
        <f t="shared" si="18"/>
        <v>0</v>
      </c>
      <c r="N31" s="1180">
        <f t="shared" si="18"/>
        <v>358</v>
      </c>
      <c r="O31" s="1180">
        <f t="shared" si="18"/>
        <v>0</v>
      </c>
      <c r="P31" s="1180">
        <f t="shared" si="18"/>
        <v>0</v>
      </c>
      <c r="Q31" s="1119">
        <f t="shared" si="18"/>
        <v>1003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4046</v>
      </c>
      <c r="AC31" s="1118">
        <f t="shared" si="19"/>
        <v>675</v>
      </c>
      <c r="AD31" s="1118">
        <f t="shared" si="19"/>
        <v>0</v>
      </c>
      <c r="AE31" s="1118">
        <f t="shared" si="19"/>
        <v>0</v>
      </c>
      <c r="AF31" s="1125">
        <f t="shared" si="19"/>
        <v>1004</v>
      </c>
      <c r="AG31" s="1125">
        <f t="shared" si="19"/>
        <v>0</v>
      </c>
      <c r="AH31" s="1125">
        <f t="shared" si="19"/>
        <v>139</v>
      </c>
      <c r="AI31" s="1125">
        <f t="shared" si="19"/>
        <v>0</v>
      </c>
      <c r="AJ31" s="1118">
        <f t="shared" si="19"/>
        <v>0</v>
      </c>
      <c r="AK31" s="1125">
        <f t="shared" si="19"/>
        <v>0</v>
      </c>
      <c r="AL31" s="1125">
        <f t="shared" si="19"/>
        <v>0</v>
      </c>
      <c r="AM31" s="1125">
        <f t="shared" si="19"/>
        <v>4849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1374</v>
      </c>
      <c r="BD31" s="1117">
        <f t="shared" si="19"/>
        <v>3983</v>
      </c>
      <c r="BE31" s="1117">
        <f t="shared" si="19"/>
        <v>0</v>
      </c>
      <c r="BF31" s="1127">
        <f t="shared" si="19"/>
        <v>0</v>
      </c>
      <c r="BG31" s="1223">
        <f>IF(ISNUMBER(Datos!K31/Datos!J31),Datos!K31/Datos!J31," - ")</f>
        <v>0.95376086682625683</v>
      </c>
      <c r="BH31" s="1223">
        <f>IF(ISNUMBER(((Datos!L31/Datos!K31)*11)/factor_trimestre),((Datos!L31/Datos!K31)*11)/factor_trimestre," - ")</f>
        <v>4.8577278731836193</v>
      </c>
      <c r="BI31" s="1103">
        <f>IF(ISNUMBER(Datos!J31/Datos!I31),Datos!J31/Datos!I31," - ")</f>
        <v>2.7079495052882976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-4.6029579067121729</v>
      </c>
      <c r="BM31" s="1188">
        <f>IF(ISNUMBER((Datos!P31-Datos!Q31+R31)/(Datos!R31-Datos!P31+Datos!Q31-R31)),(Datos!P31-Datos!Q31+R31)/(Datos!R31-Datos!P31+Datos!Q31-R31)," - ")</f>
        <v>7.2550320725503201E-2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287.71428571428572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436.2192109478903</v>
      </c>
      <c r="G33" s="674">
        <f>IF(ISNUMBER(STDEV(G8:G30)),STDEV(G8:G30),"-")</f>
        <v>429.71180818688021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1815.7813745052017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386.36178456393509</v>
      </c>
      <c r="BD33" s="673"/>
      <c r="BE33" s="673">
        <f>IF(ISNUMBER(STDEV(BE8:BE30)),STDEV(BE8:BE30),"-")</f>
        <v>0</v>
      </c>
      <c r="BF33" s="678">
        <f>IF(ISNUMBER(STDEV(BF8:BF30)),STDEV(BF8:BF30),"-")</f>
        <v>0</v>
      </c>
      <c r="BG33" s="1052">
        <f>IF(ISNUMBER(STDEV(BG8:BG30)),STDEV(BG8:BG30),"-")</f>
        <v>0.10385630557731378</v>
      </c>
      <c r="BH33" s="1058">
        <f>IF(ISNUMBER(STDEV(BH8:BH30)),STDEV(BH8:BH30),"-")</f>
        <v>4.2726441123279928</v>
      </c>
      <c r="BI33" s="273">
        <f>IF(ISNUMBER(STDEV(BI8:BI30)),STDEV(BI8:BI30),"-")</f>
        <v>6.8281954652059967E-2</v>
      </c>
      <c r="BJ33" s="244" t="str">
        <f>IF(ISNUMBER(BL33/BM33),BL33/BM33," - ")</f>
        <v xml:space="preserve"> - </v>
      </c>
      <c r="BK33" s="709"/>
      <c r="BL33" s="681">
        <f>IF(ISNUMBER(STDEV(BL8:BL30)),STDEV(BL8:BL30),"-")</f>
        <v>2.5529902136876963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UnJl4sWzMdqkcMI1YQkMP4xxdMMEJOTMJ2tfpEGK8SEBQ6CzKh7ikV5q1XyKK0g0n73J6caOV7hHa6gcTcWbg==" saltValue="IgtHpO8XbayPB8uv0ovzq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MONCADA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23</v>
      </c>
      <c r="G10" s="552">
        <f>IF(ISNUMBER(Datos!I10),Datos!I10," - ")</f>
        <v>23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25</v>
      </c>
      <c r="Z10" s="805">
        <f>IF(ISNUMBER(Datos!Q10),Datos!Q10," - ")</f>
        <v>0</v>
      </c>
      <c r="AA10" s="551">
        <f>IF(ISNUMBER(Datos!L10),Datos!L10,"-")</f>
        <v>31</v>
      </c>
      <c r="AB10" s="549"/>
      <c r="AC10" s="549"/>
      <c r="AD10" s="563"/>
      <c r="AE10" s="563">
        <f>IF(ISNUMBER(Datos!R10),Datos!R10," - ")</f>
        <v>9</v>
      </c>
      <c r="AF10" s="693" t="str">
        <f>IF(ISNUMBER(Datos!BV10),Datos!BV10," - ")</f>
        <v xml:space="preserve"> - </v>
      </c>
      <c r="AG10" s="552" t="str">
        <f>IF(ISNUMBER(Datos!DV10),Datos!DV10," - ")</f>
        <v xml:space="preserve"> - </v>
      </c>
      <c r="AH10" s="553"/>
      <c r="AI10" s="554"/>
      <c r="AJ10" s="552">
        <f>IF(ISNUMBER(Datos!M10),Datos!M10," - ")</f>
        <v>10</v>
      </c>
      <c r="AK10" s="693">
        <f>IF(ISNUMBER(Datos!N10),Datos!N10," - ")</f>
        <v>11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13.64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889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561</v>
      </c>
      <c r="AA12" s="551" t="str">
        <f>IF(ISNUMBER(IF(J_V="SI",Datos!L12,Datos!L12+Datos!AB12)-IF(Monitorios="SI",Datos!CD12,0)),
                          IF(J_V="SI",Datos!L12,Datos!L12+Datos!AB12)-IF(Monitorios="SI",Datos!CD12,0),
                          " - ")</f>
        <v xml:space="preserve"> - </v>
      </c>
      <c r="AB12" s="549"/>
      <c r="AC12" s="549"/>
      <c r="AD12" s="563"/>
      <c r="AE12" s="563">
        <f>IF(ISNUMBER(Datos!R12),Datos!R12," - ")</f>
        <v>4654</v>
      </c>
      <c r="AF12" s="693" t="str">
        <f>IF(ISNUMBER(Datos!BV12),Datos!BV12," - ")</f>
        <v xml:space="preserve"> - </v>
      </c>
      <c r="AG12" s="552" t="str">
        <f>IF(ISNUMBER(Datos!DV12),Datos!DV12," - ")</f>
        <v xml:space="preserve"> - </v>
      </c>
      <c r="AH12" s="553"/>
      <c r="AI12" s="554"/>
      <c r="AJ12" s="552">
        <f>IF(ISNUMBER(Datos!M12),Datos!M12," - ")</f>
        <v>872</v>
      </c>
      <c r="AK12" s="693">
        <f>IF(ISNUMBER(Datos!N12),Datos!N12," - ")</f>
        <v>1470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7.0506983962752203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7.5820619509939902E-2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23</v>
      </c>
      <c r="G14" s="1197">
        <f>SUBTOTAL(9,G8:G13)</f>
        <v>23</v>
      </c>
      <c r="H14" s="1211"/>
      <c r="I14" s="1197">
        <f t="shared" ref="I14:N14" si="1">SUBTOTAL(9,I8:I13)</f>
        <v>0</v>
      </c>
      <c r="J14" s="1164">
        <f t="shared" si="1"/>
        <v>0</v>
      </c>
      <c r="K14" s="1211">
        <f t="shared" si="1"/>
        <v>0</v>
      </c>
      <c r="L14" s="1211">
        <f t="shared" si="1"/>
        <v>0</v>
      </c>
      <c r="M14" s="1211">
        <f t="shared" si="1"/>
        <v>0</v>
      </c>
      <c r="N14" s="1211">
        <f t="shared" si="1"/>
        <v>890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25</v>
      </c>
      <c r="Z14" s="1210">
        <f t="shared" si="3"/>
        <v>561</v>
      </c>
      <c r="AA14" s="1199">
        <f t="shared" si="3"/>
        <v>31</v>
      </c>
      <c r="AB14" s="1199">
        <f t="shared" si="3"/>
        <v>0</v>
      </c>
      <c r="AC14" s="1199">
        <f t="shared" si="3"/>
        <v>0</v>
      </c>
      <c r="AD14" s="1199">
        <f t="shared" si="3"/>
        <v>0</v>
      </c>
      <c r="AE14" s="1199">
        <f t="shared" si="3"/>
        <v>4663</v>
      </c>
      <c r="AF14" s="1211">
        <f t="shared" si="3"/>
        <v>0</v>
      </c>
      <c r="AG14" s="1211">
        <f t="shared" si="3"/>
        <v>0</v>
      </c>
      <c r="AH14" s="1211">
        <f t="shared" si="3"/>
        <v>0</v>
      </c>
      <c r="AI14" s="1211">
        <f t="shared" si="3"/>
        <v>0</v>
      </c>
      <c r="AJ14" s="1211">
        <f t="shared" si="3"/>
        <v>882</v>
      </c>
      <c r="AK14" s="1211">
        <f t="shared" si="3"/>
        <v>1481</v>
      </c>
      <c r="AL14" s="1211">
        <f t="shared" si="3"/>
        <v>0</v>
      </c>
      <c r="AM14" s="1211">
        <f t="shared" si="3"/>
        <v>0</v>
      </c>
      <c r="AN14" s="1211">
        <f t="shared" si="3"/>
        <v>0</v>
      </c>
      <c r="AO14" s="1203">
        <f>IF(ISNUMBER(((NºAsuntos!I14/NºAsuntos!G14)*11)/factor_trimestre),((NºAsuntos!I14/NºAsuntos!G14)*11)/factor_trimestre," - ")</f>
        <v>7.0930352094577236</v>
      </c>
      <c r="AP14" s="1213" t="str">
        <f>IF(ISNUMBER(Datos!CI14/Datos!CJ14),Datos!CI14/Datos!CJ14," - ")</f>
        <v xml:space="preserve"> - </v>
      </c>
      <c r="AQ14" s="1236">
        <f t="shared" ref="AQ14:AV14" si="4">SUBTOTAL(9,AQ9:AQ13)</f>
        <v>0</v>
      </c>
      <c r="AR14" s="1236">
        <f t="shared" si="4"/>
        <v>0.2008206195099399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856</v>
      </c>
      <c r="G17" s="552">
        <f>IF(ISNUMBER(IF(D_I="SI",Datos!I17,Datos!I17+Datos!AC17)),IF(D_I="SI",Datos!I17,Datos!I17+Datos!AC17)," - ")</f>
        <v>834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3573</v>
      </c>
      <c r="Z17" s="805">
        <f>IF(ISNUMBER(Datos!Q17),Datos!Q17," - ")</f>
        <v>114</v>
      </c>
      <c r="AA17" s="551">
        <f>IF(ISNUMBER(IF(D_I="SI",Datos!L17,Datos!L17+Datos!AF17)),IF(D_I="SI",Datos!L17,Datos!L17+Datos!AF17)," - ")</f>
        <v>838</v>
      </c>
      <c r="AB17" s="549"/>
      <c r="AC17" s="549"/>
      <c r="AD17" s="563"/>
      <c r="AE17" s="563">
        <f>IF(ISNUMBER(Datos!R17),Datos!R17," - ")</f>
        <v>186</v>
      </c>
      <c r="AF17" s="693" t="str">
        <f>IF(ISNUMBER(Datos!BV17),Datos!BV17," - ")</f>
        <v xml:space="preserve"> - </v>
      </c>
      <c r="AG17" s="552"/>
      <c r="AH17" s="553"/>
      <c r="AI17" s="554"/>
      <c r="AJ17" s="552">
        <f>IF(ISNUMBER(Datos!M17),Datos!M17," - ")</f>
        <v>455</v>
      </c>
      <c r="AK17" s="693">
        <f>IF(ISNUMBER(Datos!N17),Datos!N17," - ")</f>
        <v>2266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2.5799048418695776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448</v>
      </c>
      <c r="Z18" s="805">
        <f>IF(ISNUMBER(Datos!Q18),Datos!Q18," - ")</f>
        <v>0</v>
      </c>
      <c r="AA18" s="551">
        <f>IF(ISNUMBER(Datos!L18),Datos!L18,"-")</f>
        <v>135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37</v>
      </c>
      <c r="AK18" s="693">
        <f>IF(ISNUMBER(Datos!N18),Datos!N18," - ")</f>
        <v>236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3.3147321428571428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856</v>
      </c>
      <c r="G23" s="1197">
        <f>SUBTOTAL(9,G16:G22)</f>
        <v>984</v>
      </c>
      <c r="H23" s="1240">
        <f>SUBTOTAL(9,H16:H22)</f>
        <v>0</v>
      </c>
      <c r="I23" s="1217">
        <f>SUBTOTAL(9,I16:I22)</f>
        <v>0</v>
      </c>
      <c r="J23" s="1164">
        <f>SUBTOTAL(9,J15:J22)</f>
        <v>0</v>
      </c>
      <c r="K23" s="1240">
        <f t="shared" ref="K23:S23" si="5">SUBTOTAL(9,K16:K22)</f>
        <v>0</v>
      </c>
      <c r="L23" s="1240">
        <f t="shared" si="5"/>
        <v>0</v>
      </c>
      <c r="M23" s="1240">
        <f t="shared" si="5"/>
        <v>0</v>
      </c>
      <c r="N23" s="1240">
        <f t="shared" si="5"/>
        <v>113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4021</v>
      </c>
      <c r="Z23" s="1240">
        <f t="shared" si="6"/>
        <v>114</v>
      </c>
      <c r="AA23" s="1240">
        <f t="shared" si="6"/>
        <v>973</v>
      </c>
      <c r="AB23" s="1240">
        <f t="shared" si="6"/>
        <v>0</v>
      </c>
      <c r="AC23" s="1240">
        <f t="shared" si="6"/>
        <v>0</v>
      </c>
      <c r="AD23" s="1240">
        <f t="shared" si="6"/>
        <v>0</v>
      </c>
      <c r="AE23" s="1240">
        <f t="shared" si="6"/>
        <v>186</v>
      </c>
      <c r="AF23" s="1240">
        <f t="shared" si="6"/>
        <v>0</v>
      </c>
      <c r="AG23" s="1240">
        <f t="shared" si="6"/>
        <v>0</v>
      </c>
      <c r="AH23" s="1240">
        <f t="shared" si="6"/>
        <v>0</v>
      </c>
      <c r="AI23" s="1240">
        <f t="shared" si="6"/>
        <v>0</v>
      </c>
      <c r="AJ23" s="1240">
        <f t="shared" si="6"/>
        <v>492</v>
      </c>
      <c r="AK23" s="1240">
        <f t="shared" si="6"/>
        <v>2502</v>
      </c>
      <c r="AL23" s="1240">
        <f t="shared" si="6"/>
        <v>0</v>
      </c>
      <c r="AM23" s="1240">
        <f t="shared" si="6"/>
        <v>0</v>
      </c>
      <c r="AN23" s="1240">
        <f t="shared" si="6"/>
        <v>0</v>
      </c>
      <c r="AO23" s="1242">
        <f>IF(ISNUMBER(((NºAsuntos!I23/NºAsuntos!G23)*11)/factor_trimestre),((NºAsuntos!I23/NºAsuntos!G23)*11)/factor_trimestre," - ")</f>
        <v>2.6617756776921166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879</v>
      </c>
      <c r="G31" s="1117">
        <f t="shared" si="12"/>
        <v>1007</v>
      </c>
      <c r="H31" s="1118">
        <f t="shared" si="12"/>
        <v>0</v>
      </c>
      <c r="I31" s="1117">
        <f t="shared" si="12"/>
        <v>0</v>
      </c>
      <c r="J31" s="1119">
        <f t="shared" si="12"/>
        <v>0</v>
      </c>
      <c r="K31" s="1117">
        <f t="shared" si="12"/>
        <v>0</v>
      </c>
      <c r="L31" s="1120">
        <f t="shared" si="12"/>
        <v>0</v>
      </c>
      <c r="M31" s="1117">
        <f t="shared" si="12"/>
        <v>0</v>
      </c>
      <c r="N31" s="1118">
        <f t="shared" si="12"/>
        <v>1003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4046</v>
      </c>
      <c r="Z31" s="1124">
        <f t="shared" si="13"/>
        <v>675</v>
      </c>
      <c r="AA31" s="1125">
        <f t="shared" si="13"/>
        <v>1004</v>
      </c>
      <c r="AB31" s="1125">
        <f t="shared" si="13"/>
        <v>0</v>
      </c>
      <c r="AC31" s="1125">
        <f t="shared" si="13"/>
        <v>0</v>
      </c>
      <c r="AD31" s="1126">
        <f t="shared" si="13"/>
        <v>0</v>
      </c>
      <c r="AE31" s="1126">
        <f t="shared" si="13"/>
        <v>4849</v>
      </c>
      <c r="AF31" s="1127">
        <f t="shared" si="13"/>
        <v>0</v>
      </c>
      <c r="AG31" s="1128">
        <f t="shared" si="13"/>
        <v>0</v>
      </c>
      <c r="AH31" s="1129">
        <f t="shared" si="13"/>
        <v>0</v>
      </c>
      <c r="AI31" s="1127">
        <f t="shared" si="13"/>
        <v>0</v>
      </c>
      <c r="AJ31" s="1117">
        <f t="shared" si="13"/>
        <v>1374</v>
      </c>
      <c r="AK31" s="1117">
        <f t="shared" si="13"/>
        <v>3983</v>
      </c>
      <c r="AL31" s="1117">
        <f t="shared" si="13"/>
        <v>0</v>
      </c>
      <c r="AM31" s="1130">
        <f t="shared" si="13"/>
        <v>0</v>
      </c>
      <c r="AN31" s="1120">
        <f>IF(ISNUMBER(Datos!K31/Datos!J31),Datos!K31/Datos!J31," - ")</f>
        <v>0.95376086682625683</v>
      </c>
      <c r="AO31" s="1120">
        <f>IF(ISNUMBER(FIND("06",Criterios!A8,1)),(IF(ISNUMBER(((Datos!R31/Datos!Q31)*11)/factor_trimestre),((Datos!R31/Datos!Q31)*11)/factor_trimestre," - ")),(IF(ISNUMBER(((Datos!L31/Datos!K31)*11)/factor_trimestre),((Datos!L31/Datos!K31)*11)/factor_trimestre," - ")))</f>
        <v>4.8577278731836193</v>
      </c>
      <c r="AP31" s="1131" t="str">
        <f>IF(ISNUMBER(Datos!CI31/Datos!CJ31),Datos!CI31/Datos!CJ31," - ")</f>
        <v xml:space="preserve"> - </v>
      </c>
      <c r="AQ31" s="1131">
        <f>IF(OR(ISNUMBER(FIND("01",Criterios!A8,1)),ISNUMBER(FIND("02",Criterios!A8,1)),ISNUMBER(FIND("03",Criterios!A8,1)),ISNUMBER(FIND("04",Criterios!A8,1))),(J31-Y31+K31)/(F31-K31),(I31-Y31+K31)/(F31-K31))</f>
        <v>-4.6029579067121729</v>
      </c>
      <c r="AR31" s="1131">
        <f>IF(ISNUMBER((Datos!P31-Datos!Q31+O31)/(Datos!R31-Datos!P31+Datos!Q31-O31)),(Datos!P31-Datos!Q31+O31)/(Datos!R31-Datos!P31+Datos!Q31-O31)," - ")</f>
        <v>7.2550320725503201E-2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287.71428571428572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436.2192109478903</v>
      </c>
      <c r="G33" s="674">
        <f>IF(ISNUMBER(STDEV(G8:G30)),STDEV(G8:G30),"-")</f>
        <v>429.71180818688021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386.36178456393509</v>
      </c>
      <c r="AK33" s="276"/>
      <c r="AL33" s="276">
        <f>IF(ISNUMBER(STDEV(AL8:AL30)),STDEV(AL8:AL30),"-")</f>
        <v>0</v>
      </c>
      <c r="AM33" s="278">
        <f>IF(ISNUMBER(STDEV(AM8:AM30)),STDEV(AM8:AM30),"-")</f>
        <v>0</v>
      </c>
      <c r="AN33" s="660">
        <f>IF(ISNUMBER(STDEV(AN8:AN30)),STDEV(AN8:AN30),"-")</f>
        <v>0</v>
      </c>
      <c r="AO33" s="661">
        <f>IF(ISNUMBER(STDEV(AO8:AO30)),STDEV(AO8:AO30),"-")</f>
        <v>4.2591188248998098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g59DapusRLGqzE2jogmdshVmQvMthnaMwETg6GUk1YpqBHRWywOlkvRgJwk6ZH6xZc+DiCy+PElQbxRyrguFRQ==" saltValue="Ftk/EwqzbF3BfXXC/s1vz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cptOSlGS/TqmdIOFtwLuYabmnpGHKr5ljmHrIB0YwH1J6ufvxEh+yH0TwpgEY9rWaeVatSPW+6VIzVF+6xM/A==" saltValue="x9bp9R3Uz+a8ztSlsb0r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QsuX269xexJHsOCvH6ErR1i6/Yu9KKGQrLduqJZymgUJeyj3cvD/hLZ5bgxTw5MaKn+GqkYYKKT7FuzOmBJVQ==" saltValue="4rj8oMFo1wihRAGTjpzpp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MONCADA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0.22667694680030839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0.16028480622116034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4XmzMKt9KB1Pffq8tY23XPWIVRaYhHni9abcu6+eYG1BOXJs15GspjYXNEdscQfwxksx9Mkr7vC1aOHVn/SjDg==" saltValue="Nj7g7SFyR6I5Q2tAb3t3g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56SzHCYSPYFXxy8zUPtzbaPcxtNDouOz2UlKyaORhKOWcft2qVsGCu3owOhB4luorGcSxAAZjR76ES7I1ecfSA==" saltValue="okA5nV0RrkjaBD+uqpAb9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MONCADA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23</v>
      </c>
      <c r="D10" s="452">
        <f>IF(ISNUMBER(C10/Datos!BH10),C10/Datos!BH10," - ")</f>
        <v>23</v>
      </c>
      <c r="E10" s="451">
        <f>IF(ISNUMBER(Datos!J10),Datos!J10," - ")</f>
        <v>33</v>
      </c>
      <c r="F10" s="452">
        <f>IF(ISNUMBER(E10/B10),E10/B10," - ")</f>
        <v>33</v>
      </c>
      <c r="G10" s="451">
        <f>IF(ISNUMBER(Datos!K10),Datos!K10," - ")</f>
        <v>25</v>
      </c>
      <c r="H10" s="452">
        <f>IF(ISNUMBER(G10/B10),G10/B10," - ")</f>
        <v>25</v>
      </c>
      <c r="I10" s="451">
        <f>IF(ISNUMBER(Datos!L10),Datos!L10," - ")</f>
        <v>31</v>
      </c>
      <c r="J10" s="452">
        <f>IF(ISNUMBER(I10/B10),I10/B10," - ")</f>
        <v>31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2060</v>
      </c>
      <c r="D12" s="452">
        <f>IF(ISNUMBER(C12/Datos!BH12),C12/Datos!BH12," - ")</f>
        <v>515</v>
      </c>
      <c r="E12" s="451">
        <f>IF(ISNUMBER(IF(J_V="SI",Datos!J12,Datos!J12+Datos!Z12)),IF(J_V="SI",Datos!J12,Datos!J12+Datos!Z12)," - ")</f>
        <v>4274</v>
      </c>
      <c r="F12" s="452">
        <f>IF(ISNUMBER(E12/B12),E12/B12," - ")</f>
        <v>1068.5</v>
      </c>
      <c r="G12" s="451">
        <f>IF(ISNUMBER(IF(J_V="SI",Datos!K12,Datos!K12+Datos!AA12)),IF(J_V="SI",Datos!K12,Datos!K12+Datos!AA12)," - ")</f>
        <v>3866</v>
      </c>
      <c r="H12" s="452">
        <f>IF(ISNUMBER(G12/B12),G12/B12," - ")</f>
        <v>966.5</v>
      </c>
      <c r="I12" s="451">
        <f>IF(ISNUMBER(IF(J_V="SI",Datos!L12,Datos!L12+Datos!AB12)),IF(J_V="SI",Datos!L12,Datos!L12+Datos!AB12)," - ")</f>
        <v>2478</v>
      </c>
      <c r="J12" s="452">
        <f>IF(ISNUMBER(I12/B12),I12/B12," - ")</f>
        <v>619.5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2083</v>
      </c>
      <c r="D14" s="1147" t="str">
        <f>IF(ISNUMBER(C14/Datos!BI14),C14/Datos!BI14," - ")</f>
        <v xml:space="preserve"> - </v>
      </c>
      <c r="E14" s="1146">
        <f>SUBTOTAL(9,E8:E13)</f>
        <v>4307</v>
      </c>
      <c r="F14" s="1147">
        <f>IF(ISNUMBER(E14/B14),E14/B14," - ")</f>
        <v>1076.75</v>
      </c>
      <c r="G14" s="1146">
        <f>SUBTOTAL(9,G8:G13)</f>
        <v>3891</v>
      </c>
      <c r="H14" s="1147">
        <f>IF(ISNUMBER(G14/B14),G14/B14," - ")</f>
        <v>972.75</v>
      </c>
      <c r="I14" s="1146">
        <f>SUBTOTAL(9,I8:I13)</f>
        <v>2509</v>
      </c>
      <c r="J14" s="1147">
        <f>IF(ISNUMBER(I14/B14),I14/B14," - ")</f>
        <v>627.25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834</v>
      </c>
      <c r="D17" s="452">
        <f>IF(ISNUMBER(C17/Datos!BH17),C17/Datos!BH17," - ")</f>
        <v>208.5</v>
      </c>
      <c r="E17" s="451">
        <f>IF(ISNUMBER(IF(D_I="SI",Datos!J17,Datos!J17+Datos!AD17)),IF(D_I="SI",Datos!J17,Datos!J17+Datos!AD17)," - ")</f>
        <v>3555</v>
      </c>
      <c r="F17" s="452">
        <f>IF(ISNUMBER(E17/B17),E17/B17," - ")</f>
        <v>888.75</v>
      </c>
      <c r="G17" s="451">
        <f>IF(ISNUMBER(IF(D_I="SI",Datos!K17,Datos!K17+Datos!AE17)),IF(D_I="SI",Datos!K17,Datos!K17+Datos!AE17)," - ")</f>
        <v>3573</v>
      </c>
      <c r="H17" s="452">
        <f>IF(ISNUMBER(G17/B17),G17/B17," - ")</f>
        <v>893.25</v>
      </c>
      <c r="I17" s="451">
        <f>IF(ISNUMBER(IF(D_I="SI",Datos!L17,Datos!L17+Datos!AF17)),IF(D_I="SI",Datos!L17,Datos!L17+Datos!AF17)," - ")</f>
        <v>838</v>
      </c>
      <c r="J17" s="452">
        <f>IF(ISNUMBER(I17/B17),I17/B17," - ")</f>
        <v>209.5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150</v>
      </c>
      <c r="D18" s="452">
        <f>IF(ISNUMBER(C18/Datos!BH18),C18/Datos!BH18," - ")</f>
        <v>150</v>
      </c>
      <c r="E18" s="451">
        <f>IF(ISNUMBER(IF(D_I="SI",Datos!J18,Datos!J18+Datos!AD18)),IF(D_I="SI",Datos!J18,Datos!J18+Datos!AD18)," - ")</f>
        <v>433</v>
      </c>
      <c r="F18" s="452">
        <f>IF(ISNUMBER(E18/B18),E18/B18," - ")</f>
        <v>433</v>
      </c>
      <c r="G18" s="451">
        <f>IF(ISNUMBER(IF(D_I="SI",Datos!K18,Datos!K18+Datos!AE18)),IF(D_I="SI",Datos!K18,Datos!K18+Datos!AE18)," - ")</f>
        <v>448</v>
      </c>
      <c r="H18" s="452">
        <f>IF(ISNUMBER(G18/B18),G18/B18," - ")</f>
        <v>448</v>
      </c>
      <c r="I18" s="451">
        <f>IF(ISNUMBER(IF(D_I="SI",Datos!L18,Datos!L18+Datos!AF18)),IF(D_I="SI",Datos!L18,Datos!L18+Datos!AF18)," - ")</f>
        <v>135</v>
      </c>
      <c r="J18" s="452">
        <f>IF(ISNUMBER(I18/B18),I18/B18," - ")</f>
        <v>135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984</v>
      </c>
      <c r="D23" s="1147" t="str">
        <f>IF(ISNUMBER(C23/Datos!BI23),C23/Datos!BI23," - ")</f>
        <v xml:space="preserve"> - </v>
      </c>
      <c r="E23" s="1146">
        <f>SUBTOTAL(9,E15:E22)</f>
        <v>3988</v>
      </c>
      <c r="F23" s="1147">
        <f>IF(ISNUMBER(E23/B23),E23/B23," - ")</f>
        <v>997</v>
      </c>
      <c r="G23" s="1146">
        <f>SUBTOTAL(9,G15:G22)</f>
        <v>4021</v>
      </c>
      <c r="H23" s="1147">
        <f>IF(ISNUMBER(G23/B23),G23/B23," - ")</f>
        <v>1005.25</v>
      </c>
      <c r="I23" s="1146">
        <f>SUBTOTAL(9,I15:I22)</f>
        <v>973</v>
      </c>
      <c r="J23" s="1147">
        <f>IF(ISNUMBER(I23/B23),I23/B23," - ")</f>
        <v>243.25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3067</v>
      </c>
      <c r="D31" s="1085" t="str">
        <f>IF(ISNUMBER(C31/Datos!BI31),C31/Datos!BI31," - ")</f>
        <v xml:space="preserve"> - </v>
      </c>
      <c r="E31" s="1084">
        <f>SUBTOTAL(9,E9:E30)</f>
        <v>8295</v>
      </c>
      <c r="F31" s="1085">
        <f>IF(ISNUMBER(E31/B31),E31/B31," - ")</f>
        <v>2073.75</v>
      </c>
      <c r="G31" s="1084">
        <f>SUBTOTAL(9,G9:G30)</f>
        <v>7912</v>
      </c>
      <c r="H31" s="1085">
        <f>IF(ISNUMBER(G31/B31),G31/B31," - ")</f>
        <v>1978</v>
      </c>
      <c r="I31" s="1084">
        <f>SUBTOTAL(9,I9:I30)</f>
        <v>3482</v>
      </c>
      <c r="J31" s="1085">
        <f>IF(ISNUMBER(I31/B31),I31/B31," - ")</f>
        <v>870.5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hLgWBn2T39O2gFO0j/6o/lCvh4c61+2OqjxQnuMI+RuFs73R6wu3JNVv/9KqNP55V1DszkyTnHMMQp5HgsOmAA==" saltValue="U/2FyyIGnZalZlsZvAKzU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MONCADA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23</v>
      </c>
      <c r="G10" s="906">
        <f>IF(ISNUMBER(Datos!I10),Datos!I10," - ")</f>
        <v>23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25</v>
      </c>
      <c r="AC10" s="905" t="str">
        <f>IF(ISNUMBER(IF(D_I="SI",DatosP!K18,DatosP!K18+DatosP!AE18)),IF(D_I="SI",DatosP!K18,DatosP!K18+DatosP!AE18)," - ")</f>
        <v xml:space="preserve"> - </v>
      </c>
      <c r="AD10" s="907"/>
      <c r="AE10" s="907"/>
      <c r="AF10" s="910">
        <f>IF(ISNUMBER(Datos!L10),Datos!L10,"-")</f>
        <v>31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11</v>
      </c>
      <c r="AN10" s="914">
        <f>IF(ISNUMBER(Datos!BW10+DatosP!BW18),Datos!BW10+DatosP!BW18," - ")</f>
        <v>0</v>
      </c>
      <c r="AO10" s="915">
        <f>IF(ISNUMBER(Datos!BX10+DatosP!BX18),Datos!BX10+DatosP!BX18," - ")</f>
        <v>0</v>
      </c>
      <c r="AP10" s="917">
        <f>IF(ISNUMBER(((Datos!L10/Datos!K10)*11)/factor_trimestre),((Datos!L10/Datos!K10)*11)/factor_trimestre," - ")</f>
        <v>13.64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889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561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4654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872</v>
      </c>
      <c r="AM12" s="914">
        <f>IF(ISNUMBER(Datos!N12+DatosP!N17),Datos!N12+DatosP!N17," - ")</f>
        <v>1470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7.0506983962752203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7.5820619509939902E-2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23</v>
      </c>
      <c r="G14" s="1256">
        <f t="shared" si="0"/>
        <v>23</v>
      </c>
      <c r="H14" s="1256">
        <f t="shared" si="0"/>
        <v>0</v>
      </c>
      <c r="I14" s="1258">
        <f t="shared" si="0"/>
        <v>0</v>
      </c>
      <c r="J14" s="1257">
        <f t="shared" si="0"/>
        <v>0</v>
      </c>
      <c r="K14" s="1257">
        <f t="shared" si="0"/>
        <v>0</v>
      </c>
      <c r="L14" s="1259">
        <f t="shared" si="0"/>
        <v>0</v>
      </c>
      <c r="M14" s="1259">
        <f t="shared" si="0"/>
        <v>0</v>
      </c>
      <c r="N14" s="1257">
        <f t="shared" si="0"/>
        <v>890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25</v>
      </c>
      <c r="AC14" s="1257">
        <f t="shared" si="1"/>
        <v>0</v>
      </c>
      <c r="AD14" s="1257">
        <f t="shared" si="1"/>
        <v>561</v>
      </c>
      <c r="AE14" s="1257">
        <f t="shared" si="1"/>
        <v>0</v>
      </c>
      <c r="AF14" s="1257">
        <f t="shared" si="1"/>
        <v>31</v>
      </c>
      <c r="AG14" s="1257">
        <f t="shared" si="1"/>
        <v>0</v>
      </c>
      <c r="AH14" s="1257">
        <f t="shared" si="1"/>
        <v>4654</v>
      </c>
      <c r="AI14" s="1257">
        <f t="shared" si="1"/>
        <v>0</v>
      </c>
      <c r="AJ14" s="1257">
        <f t="shared" si="1"/>
        <v>0</v>
      </c>
      <c r="AK14" s="1257">
        <f t="shared" si="1"/>
        <v>0</v>
      </c>
      <c r="AL14" s="1257">
        <f t="shared" si="1"/>
        <v>882</v>
      </c>
      <c r="AM14" s="1257">
        <f t="shared" si="1"/>
        <v>1481</v>
      </c>
      <c r="AN14" s="1257">
        <f t="shared" si="1"/>
        <v>0</v>
      </c>
      <c r="AO14" s="1257">
        <f t="shared" si="1"/>
        <v>0</v>
      </c>
      <c r="AP14" s="1262">
        <f>IF(ISNUMBER(((Datos!L14/Datos!K14)*11)/factor_trimestre),((Datos!L14/Datos!K14)*11)/factor_trimestre," - ")</f>
        <v>7.3457311918850383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-1.0869565217391304</v>
      </c>
      <c r="AU14" s="1257" t="str">
        <f>IF(ISNUMBER((DatosP!#REF!-DatosP!#REF!+DatosP!#REF!)/(DatosP!#REF!+DatosP!#REF!-DatosP!#REF!-DatosP!#REF!)),(DatosP!#REF!-DatosP!#REF!+DatosP!#REF!)/(DatosP!#REF!+DatosP!#REF!-DatosP!#REF!-DatosP!#REF!)," - ")</f>
        <v xml:space="preserve"> - </v>
      </c>
      <c r="AV14" s="1263">
        <f>SUBTOTAL(9,AV9:AV13)</f>
        <v>7.5820619509939902E-2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2.6617756776921166</v>
      </c>
      <c r="AQ23" s="1262">
        <f>IF(ISNUMBER(((Datos!M23/Datos!L23)*11)/factor_trimestre),((Datos!M23/Datos!L23)*11)/factor_trimestre," - ")</f>
        <v>5.5621788283658784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-5.3475935828877002E-3</v>
      </c>
      <c r="AW23" s="1265">
        <f>IF(ISNUMBER((Datos!Q23-Datos!R23)/(Datos!S23-Datos!Q23+Datos!R23)),(Datos!Q23-Datos!R23)/(Datos!S23-Datos!Q23+Datos!R23)," - ")</f>
        <v>-6.7352666043030876E-2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23</v>
      </c>
      <c r="G31" s="1278">
        <f t="shared" si="8"/>
        <v>23</v>
      </c>
      <c r="H31" s="1278">
        <f t="shared" si="8"/>
        <v>0</v>
      </c>
      <c r="I31" s="1279">
        <f t="shared" si="8"/>
        <v>0</v>
      </c>
      <c r="J31" s="1280">
        <f t="shared" si="8"/>
        <v>0</v>
      </c>
      <c r="K31" s="1280">
        <f t="shared" si="8"/>
        <v>0</v>
      </c>
      <c r="L31" s="1280">
        <f t="shared" si="8"/>
        <v>0</v>
      </c>
      <c r="M31" s="1280">
        <f t="shared" si="8"/>
        <v>0</v>
      </c>
      <c r="N31" s="1279">
        <f t="shared" si="8"/>
        <v>890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25</v>
      </c>
      <c r="AC31" s="1284">
        <f t="shared" si="9"/>
        <v>0</v>
      </c>
      <c r="AD31" s="1284">
        <f t="shared" si="9"/>
        <v>561</v>
      </c>
      <c r="AE31" s="1284">
        <f t="shared" si="9"/>
        <v>0</v>
      </c>
      <c r="AF31" s="1285">
        <f t="shared" si="9"/>
        <v>31</v>
      </c>
      <c r="AG31" s="1285">
        <f t="shared" si="9"/>
        <v>0</v>
      </c>
      <c r="AH31" s="1285">
        <f t="shared" si="9"/>
        <v>4654</v>
      </c>
      <c r="AI31" s="1285">
        <f t="shared" si="9"/>
        <v>0</v>
      </c>
      <c r="AJ31" s="1286">
        <f t="shared" si="9"/>
        <v>0</v>
      </c>
      <c r="AK31" s="1286">
        <f t="shared" si="9"/>
        <v>0</v>
      </c>
      <c r="AL31" s="1278">
        <f t="shared" si="9"/>
        <v>882</v>
      </c>
      <c r="AM31" s="1278">
        <f t="shared" si="9"/>
        <v>1481</v>
      </c>
      <c r="AN31" s="1278">
        <f t="shared" si="9"/>
        <v>0</v>
      </c>
      <c r="AO31" s="1278">
        <f t="shared" si="9"/>
        <v>0</v>
      </c>
      <c r="AP31" s="1278">
        <f>IF(ISNUMBER(((Datos!L31/Datos!K31)*11)/factor_trimestre),((Datos!L31/Datos!K31)*11)/factor_trimestre," - ")</f>
        <v>4.8577278731836193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-1.0869565217391304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7.2550320725503201E-2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9.1999999999999993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12.59761882261882</v>
      </c>
      <c r="G33" s="1007">
        <f>IF(ISNUMBER(STDEV(G8:G30)),STDEV(G8:G30),"-")</f>
        <v>12.59761882261882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13.693063937629153</v>
      </c>
      <c r="AC33" s="1008">
        <f>IF(ISNUMBER(STDEV(AC8:AC30)),STDEV(AC8:AC30),"-")</f>
        <v>0</v>
      </c>
      <c r="AD33" s="1011"/>
      <c r="AE33" s="1011"/>
      <c r="AF33" s="1011"/>
      <c r="AG33" s="1011"/>
      <c r="AH33" s="1011"/>
      <c r="AI33" s="1011"/>
      <c r="AJ33" s="1012">
        <f>IF(ISNUMBER(STDEV(AJ8:AJ30)),STDEV(AJ8:AJ30),"-")</f>
        <v>0</v>
      </c>
      <c r="AK33" s="1014"/>
      <c r="AL33" s="1006">
        <f>IF(ISNUMBER(STDEV(AL8:AL30)),STDEV(AL8:AL30),"-")</f>
        <v>451.61753730341343</v>
      </c>
      <c r="AM33" s="1006"/>
      <c r="AN33" s="1006">
        <f>IF(ISNUMBER(STDEV(AN8:AN30)),STDEV(AN8:AN30),"-")</f>
        <v>0</v>
      </c>
      <c r="AO33" s="1012">
        <f>IF(ISNUMBER(STDEV(AO8:AO30)),STDEV(AO8:AO30),"-")</f>
        <v>0</v>
      </c>
      <c r="AP33" s="1065">
        <f>IF(ISNUMBER(STDEV(AP8:AP30)),STDEV(AP8:AP30),"-")</f>
        <v>4.5170717926890953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yDU7DkcYlLKG5A5f5kkjT+6/7z+dQRreX7q6BTknKBzSIDFxPFXJMC/gLyByLiEdC3eUHt1wFEn2Ow/HogWG0w==" saltValue="sdBrYmtwnxdugkf8qDbKl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MONCADA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nL0q6GJqs0WUNERmRDkTZc3LvXH0bj34n2RWXffbt9jdlarGjOmVtiI5aLwR8TL6d6Re9TPNnEGoSmBTZRUD9w==" saltValue="e+2BzdY7QYjYyr55oSnpg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MONCADA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11</v>
      </c>
      <c r="G10" s="452">
        <f>IF(ISNUMBER(F10/B10),F10/B10," - ")</f>
        <v>11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872</v>
      </c>
      <c r="E12" s="452">
        <f t="shared" si="0"/>
        <v>218</v>
      </c>
      <c r="F12" s="451">
        <f>IF(ISNUMBER(Datos!N12),Datos!N12," - ")</f>
        <v>1470</v>
      </c>
      <c r="G12" s="452">
        <f t="shared" si="1"/>
        <v>367.5</v>
      </c>
      <c r="H12" s="451">
        <f>IF(ISNUMBER(Datos!O12),Datos!O12," - ")</f>
        <v>1591</v>
      </c>
      <c r="I12" s="452">
        <f t="shared" si="2"/>
        <v>397.75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882</v>
      </c>
      <c r="E14" s="1147">
        <f t="shared" si="0"/>
        <v>176.4</v>
      </c>
      <c r="F14" s="1146">
        <f>SUBTOTAL(9,F9:F13)</f>
        <v>1481</v>
      </c>
      <c r="G14" s="1147">
        <f t="shared" si="1"/>
        <v>296.2</v>
      </c>
      <c r="H14" s="1146">
        <f>SUBTOTAL(9,H9:H13)</f>
        <v>1592</v>
      </c>
      <c r="I14" s="1147">
        <f>IF(ISNUMBER(H14/B14),H14/B14," - ")</f>
        <v>318.39999999999998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455</v>
      </c>
      <c r="E17" s="452">
        <f t="shared" si="3"/>
        <v>113.75</v>
      </c>
      <c r="F17" s="451">
        <f>IF(ISNUMBER(Datos!N17),Datos!N17," - ")</f>
        <v>2266</v>
      </c>
      <c r="G17" s="452">
        <f t="shared" si="4"/>
        <v>566.5</v>
      </c>
      <c r="H17" s="451">
        <f>IF(ISNUMBER(Datos!O17),Datos!O17," - ")</f>
        <v>9</v>
      </c>
      <c r="I17" s="452">
        <f t="shared" si="5"/>
        <v>2.25</v>
      </c>
    </row>
    <row r="18" spans="1:9">
      <c r="A18" s="450" t="str">
        <f>Datos!A18</f>
        <v>Jdos. Violencia contra la mujer</v>
      </c>
      <c r="B18" s="480">
        <f>Datos!AO18</f>
        <v>1</v>
      </c>
      <c r="C18" s="481">
        <f>Datos!AQ18</f>
        <v>0</v>
      </c>
      <c r="D18" s="451">
        <f>IF(ISNUMBER(Datos!M18),Datos!M18," - ")</f>
        <v>37</v>
      </c>
      <c r="E18" s="452">
        <f>IF(ISNUMBER(D18/B18),D18/B18," - ")</f>
        <v>37</v>
      </c>
      <c r="F18" s="451">
        <f>IF(ISNUMBER(Datos!N18),Datos!N18," - ")</f>
        <v>236</v>
      </c>
      <c r="G18" s="452">
        <f>IF(ISNUMBER(F18/B18),F18/B18," - ")</f>
        <v>236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492</v>
      </c>
      <c r="E23" s="1147">
        <f t="shared" si="3"/>
        <v>98.4</v>
      </c>
      <c r="F23" s="1146">
        <f>SUBTOTAL(9,F16:F22)</f>
        <v>2502</v>
      </c>
      <c r="G23" s="1147">
        <f t="shared" si="4"/>
        <v>500.4</v>
      </c>
      <c r="H23" s="1146">
        <f>SUBTOTAL(9,H16:H22)</f>
        <v>9</v>
      </c>
      <c r="I23" s="1147">
        <f>IF(ISNUMBER(H23/B23),H23/B23," - ")</f>
        <v>1.8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1374</v>
      </c>
      <c r="E31" s="1085">
        <f>IF(ISNUMBER(D31/B31),D31/B31," - ")</f>
        <v>343.5</v>
      </c>
      <c r="F31" s="1084">
        <f>SUBTOTAL(9,F8:F30)</f>
        <v>3983</v>
      </c>
      <c r="G31" s="1085">
        <f>IF(ISNUMBER(F31/B31),F31/B31," - ")</f>
        <v>995.75</v>
      </c>
      <c r="H31" s="1084">
        <f>SUBTOTAL(9,H8:H30)</f>
        <v>1601</v>
      </c>
      <c r="I31" s="1085">
        <f>IF(ISNUMBER(H31/B31),H31/B31," - ")</f>
        <v>400.25</v>
      </c>
    </row>
    <row r="34" spans="1:1">
      <c r="A34" s="439" t="str">
        <f>Criterios!A4</f>
        <v>Fecha Informe: 14 abr. 2023</v>
      </c>
    </row>
    <row r="39" spans="1:1">
      <c r="A39" s="462"/>
    </row>
  </sheetData>
  <sheetProtection algorithmName="SHA-512" hashValue="Y8sTMENMDoYmsmGiZtgyp4u8JIDnI9WoC4e3woh+IIvaIKAkQk465tHGWf/+RROE1hpAzFzQg+thDqXSuqokCw==" saltValue="7l6rV5hJs/bbIKQj1OfF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MONCADA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889</v>
      </c>
      <c r="C12" s="489">
        <f>IF(ISNUMBER(Datos!Q12),Datos!Q12," - ")</f>
        <v>561</v>
      </c>
      <c r="D12" s="456">
        <f>IF(ISNUMBER(Datos!R12),Datos!R12," - ")</f>
        <v>4654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890</v>
      </c>
      <c r="C14" s="1150">
        <f>SUBTOTAL(9,C9:C13)</f>
        <v>561</v>
      </c>
      <c r="D14" s="1148">
        <f>SUBTOTAL(9,D9:D13)</f>
        <v>4663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113</v>
      </c>
      <c r="C17" s="489">
        <f>IF(ISNUMBER(Datos!Q17),Datos!Q17," - ")</f>
        <v>114</v>
      </c>
      <c r="D17" s="456">
        <f>IF(ISNUMBER(Datos!R17),Datos!R17," - ")</f>
        <v>186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113</v>
      </c>
      <c r="C23" s="1150">
        <f>SUBTOTAL(9,C16:C22)</f>
        <v>114</v>
      </c>
      <c r="D23" s="1148">
        <f>SUBTOTAL(9,D16:D22)</f>
        <v>186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1003</v>
      </c>
      <c r="C31" s="1089">
        <f>SUBTOTAL(9,C8:C30)</f>
        <v>675</v>
      </c>
      <c r="D31" s="1090">
        <f>SUBTOTAL(9,D8:D30)</f>
        <v>4849</v>
      </c>
    </row>
    <row r="32" spans="1:4" ht="7.5" customHeight="1"/>
    <row r="33" spans="1:1" ht="6" customHeight="1"/>
    <row r="34" spans="1:1">
      <c r="A34" s="439" t="str">
        <f>Criterios!A4</f>
        <v>Fecha Informe: 14 abr. 2023</v>
      </c>
    </row>
    <row r="39" spans="1:1">
      <c r="A39" s="462"/>
    </row>
  </sheetData>
  <sheetProtection algorithmName="SHA-512" hashValue="Hmpn//dAFtw6H8B1cgLMd//DayTYyC+Q0v/T6aWNgRCm79ysDO5r3I97j//5zq5zPYk/5PhNN0T8azrBz0ODYA==" saltValue="yh+wkrFsr32CCjyG3WWO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MONCADA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0.35294117647058826</v>
      </c>
      <c r="C10" s="515">
        <f>IF(ISNUMBER((Datos!J10-Datos!T10)/Datos!T10),(Datos!J10-Datos!T10)/Datos!T10," - ")</f>
        <v>0.13793103448275862</v>
      </c>
      <c r="D10" s="515">
        <f>IF(ISNUMBER((Datos!K10-Datos!U10)/Datos!U10),(Datos!K10-Datos!U10)/Datos!U10," - ")</f>
        <v>0</v>
      </c>
      <c r="E10" s="515">
        <f>IF(ISNUMBER((Datos!L10-Datos!V10)/Datos!V10),(Datos!L10-Datos!V10)/Datos!V10," - ")</f>
        <v>0.34782608695652173</v>
      </c>
      <c r="F10" s="515">
        <f>IF(ISNUMBER((Datos!M10-Datos!W10)/Datos!W10),(Datos!M10-Datos!W10)/Datos!W10," - ")</f>
        <v>-0.41176470588235292</v>
      </c>
      <c r="G10" s="516">
        <f>IF(ISNUMBER((Datos!N10-Datos!X10)/Datos!X10),(Datos!N10-Datos!X10)/Datos!X10," - ")</f>
        <v>2.6666666666666665</v>
      </c>
      <c r="H10" s="514">
        <f>IF(ISNUMBER(((NºAsuntos!G10/NºAsuntos!E10)-Datos!BD10)/Datos!BD10),((NºAsuntos!G10/NºAsuntos!E10)-Datos!BD10)/Datos!BD10," - ")</f>
        <v>-0.12121212121212116</v>
      </c>
      <c r="I10" s="515">
        <f>IF(ISNUMBER(((NºAsuntos!I10/NºAsuntos!G10)-Datos!BE10)/Datos!BE10),((NºAsuntos!I10/NºAsuntos!G10)-Datos!BE10)/Datos!BE10," - ")</f>
        <v>0.34782608695652167</v>
      </c>
      <c r="J10" s="521">
        <f>IF(ISNUMBER((('Resol  Asuntos'!D10/NºAsuntos!G10)-Datos!BF10)/Datos!BF10),(('Resol  Asuntos'!D10/NºAsuntos!G10)-Datos!BF10)/Datos!BF10," - ")</f>
        <v>-0.41176470588235298</v>
      </c>
      <c r="K10" s="522">
        <f>IF(ISNUMBER((((NºAsuntos!C10+NºAsuntos!E10)/NºAsuntos!G10)-Datos!BG10)/Datos!BG10),(((NºAsuntos!C10+NºAsuntos!E10)/NºAsuntos!G10)-Datos!BG10)/Datos!BG10," - ")</f>
        <v>0.21739130434782614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0.1547085201793722</v>
      </c>
      <c r="C12" s="515">
        <f>IF(ISNUMBER(
   IF(J_V="SI",(Datos!J12-Datos!T12)/Datos!T12,(Datos!J12+Datos!Z12-(Datos!T12+Datos!AH12))/(Datos!T12+Datos!AH12))
     ),IF(J_V="SI",(Datos!J12-Datos!T12)/Datos!T12,(Datos!J12+Datos!Z12-(Datos!T12+Datos!AH12))/(Datos!T12+Datos!AH12))," - ")</f>
        <v>9.3933964678781678E-2</v>
      </c>
      <c r="D12" s="515">
        <f>IF(ISNUMBER(
   IF(J_V="SI",(Datos!K12-Datos!U12)/Datos!U12,(Datos!K12+Datos!AA12-(Datos!U12+Datos!AI12))/(Datos!U12+Datos!AI12))
     ),IF(J_V="SI",(Datos!K12-Datos!U12)/Datos!U12,(Datos!K12+Datos!AA12-(Datos!U12+Datos!AI12))/(Datos!U12+Datos!AI12))," - ")</f>
        <v>6.4720462682456625E-2</v>
      </c>
      <c r="E12" s="515">
        <f>IF(ISNUMBER(
   IF(J_V="SI",(Datos!L12-Datos!V12)/Datos!V12,(Datos!L12+Datos!AB12-(Datos!V12+Datos!AJ12))/(Datos!V12+Datos!AJ12))
     ),IF(J_V="SI",(Datos!L12-Datos!V12)/Datos!V12,(Datos!L12+Datos!AB12-(Datos!V12+Datos!AJ12))/(Datos!V12+Datos!AJ12))," - ")</f>
        <v>0.20291262135922331</v>
      </c>
      <c r="F12" s="515">
        <f>IF(ISNUMBER((Datos!M12-Datos!W12)/Datos!W12),(Datos!M12-Datos!W12)/Datos!W12," - ")</f>
        <v>6.9284064665127024E-3</v>
      </c>
      <c r="G12" s="516">
        <f>IF(ISNUMBER((Datos!N12-Datos!X12)/Datos!X12),(Datos!N12-Datos!X12)/Datos!X12," - ")</f>
        <v>-1.9346230820547032E-2</v>
      </c>
      <c r="H12" s="514">
        <f>IF(ISNUMBER(((NºAsuntos!G12/NºAsuntos!E12)-Datos!BD12)/Datos!BD12),((NºAsuntos!G12/NºAsuntos!E12)-Datos!BD12)/Datos!BD12," - ")</f>
        <v>-2.6704995858596692E-2</v>
      </c>
      <c r="I12" s="515">
        <f>IF(ISNUMBER(((NºAsuntos!I12/NºAsuntos!G12)-Datos!BE12)/Datos!BE12),((NºAsuntos!I12/NºAsuntos!G12)-Datos!BE12)/Datos!BE12," - ")</f>
        <v>0.12979196279237978</v>
      </c>
      <c r="J12" s="521">
        <f>IF(ISNUMBER((('Resol  Asuntos'!D12/NºAsuntos!G12)-Datos!BF12)/Datos!BF12),(('Resol  Asuntos'!D12/NºAsuntos!G12)-Datos!BF12)/Datos!BF12," - ")</f>
        <v>-0.45363955345985096</v>
      </c>
      <c r="K12" s="522">
        <f>IF(ISNUMBER((((NºAsuntos!C12+NºAsuntos!E12)/NºAsuntos!G12)-Datos!BG12)/Datos!BG12),(((NºAsuntos!C12+NºAsuntos!E12)/NºAsuntos!G12)-Datos!BG12)/Datos!BG12," - ")</f>
        <v>4.5331102930421807E-2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0.15657967795669073</v>
      </c>
      <c r="C14" s="1152">
        <f>IF(ISNUMBER(
   IF(J_V="SI",(Datos!J14-Datos!T14)/Datos!T14,(Datos!J14+Datos!Z14-(Datos!T14+Datos!AH14))/(Datos!T14+Datos!AH14))
     ),IF(J_V="SI",(Datos!J14-Datos!T14)/Datos!T14,(Datos!J14+Datos!Z14-(Datos!T14+Datos!AH14))/(Datos!T14+Datos!AH14))," - ")</f>
        <v>9.4258130081300809E-2</v>
      </c>
      <c r="D14" s="1152">
        <f>IF(ISNUMBER(
   IF(J_V="SI",(Datos!K14-Datos!U14)/Datos!U14,(Datos!K14+Datos!AA14-(Datos!U14+Datos!AI14))/(Datos!U14+Datos!AI14))
     ),IF(J_V="SI",(Datos!K14-Datos!U14)/Datos!U14,(Datos!K14+Datos!AA14-(Datos!U14+Datos!AI14))/(Datos!U14+Datos!AI14))," - ")</f>
        <v>6.4277899343544859E-2</v>
      </c>
      <c r="E14" s="1152">
        <f>IF(ISNUMBER(
   IF(J_V="SI",(Datos!L14-Datos!V14)/Datos!V14,(Datos!L14+Datos!AB14-(Datos!V14+Datos!AJ14))/(Datos!V14+Datos!AJ14))
     ),IF(J_V="SI",(Datos!L14-Datos!V14)/Datos!V14,(Datos!L14+Datos!AB14-(Datos!V14+Datos!AJ14))/(Datos!V14+Datos!AJ14))," - ")</f>
        <v>0.20451272203552567</v>
      </c>
      <c r="F14" s="1153">
        <f>IF(ISNUMBER((Datos!M14-Datos!W14)/Datos!W14),(Datos!M14-Datos!W14)/Datos!W14," - ")</f>
        <v>-1.1325028312570782E-3</v>
      </c>
      <c r="G14" s="1154">
        <f>IF(ISNUMBER((Datos!N14-Datos!X14)/Datos!X14),(Datos!N14-Datos!X14)/Datos!X14," - ")</f>
        <v>-1.3981358189081226E-2</v>
      </c>
      <c r="H14" s="1154">
        <f>IF(ISNUMBER(((NºAsuntos!G14/NºAsuntos!E14)-Datos!BD14)/Datos!BD14),((NºAsuntos!G14/NºAsuntos!E14)-Datos!BD14)/Datos!BD14," - ")</f>
        <v>-2.7397768326864892E-2</v>
      </c>
      <c r="I14" s="1154">
        <f>IF(ISNUMBER(((NºAsuntos!I14/NºAsuntos!G14)-Datos!BE14)/Datos!BE14),((NºAsuntos!I14/NºAsuntos!G14)-Datos!BE14)/Datos!BE14," - ")</f>
        <v>0.13176523047079994</v>
      </c>
      <c r="J14" s="1154">
        <f>IF(ISNUMBER((('Resol  Asuntos'!D14/NºAsuntos!G14)-Datos!BF14)/Datos!BF14),(('Resol  Asuntos'!D14/NºAsuntos!G14)-Datos!BF14)/Datos!BF14," - ")</f>
        <v>-0.45334372196442779</v>
      </c>
      <c r="K14" s="1154">
        <f>IF(ISNUMBER((((NºAsuntos!C14+NºAsuntos!E14)/NºAsuntos!G14)-Datos!BG14)/Datos!BG14),(((NºAsuntos!C14+NºAsuntos!E14)/NºAsuntos!G14)-Datos!BG14)/Datos!BG14," - ")</f>
        <v>4.6552367600161848E-2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-7.2302558398220251E-2</v>
      </c>
      <c r="C17" s="515">
        <f>IF(ISNUMBER(
   IF(D_I="SI",(Datos!J17-Datos!T17)/Datos!T17,(Datos!J17+Datos!AD17-(Datos!T17+Datos!AL17))/(Datos!T17+Datos!AL17))
     ),IF(D_I="SI",(Datos!J17-Datos!T17)/Datos!T17,(Datos!J17+Datos!AD17-(Datos!T17+Datos!AL17))/(Datos!T17+Datos!AL17))," - ")</f>
        <v>8.5106382978723406E-3</v>
      </c>
      <c r="D17" s="515">
        <f>IF(ISNUMBER(
   IF(D_I="SI",(Datos!K17-Datos!U17)/Datos!U17,(Datos!K17+Datos!AE17-(Datos!U17+Datos!AM17))/(Datos!U17+Datos!AM17))
     ),IF(D_I="SI",(Datos!K17-Datos!U17)/Datos!U17,(Datos!K17+Datos!AE17-(Datos!U17+Datos!AM17))/(Datos!U17+Datos!AM17))," - ")</f>
        <v>-1.2164777439867294E-2</v>
      </c>
      <c r="E17" s="515">
        <f>IF(ISNUMBER(
   IF(D_I="SI",(Datos!L17-Datos!V17)/Datos!V17,(Datos!L17+Datos!AF17-(Datos!V17+Datos!AN17))/(Datos!V17+Datos!AN17))
     ),IF(D_I="SI",(Datos!L17-Datos!V17)/Datos!V17,(Datos!L17+Datos!AF17-(Datos!V17+Datos!AN17))/(Datos!V17+Datos!AN17))," - ")</f>
        <v>4.7961630695443642E-3</v>
      </c>
      <c r="F17" s="515">
        <f>IF(ISNUMBER((Datos!M17-Datos!W17)/Datos!W17),(Datos!M17-Datos!W17)/Datos!W17," - ")</f>
        <v>6.6371681415929203E-3</v>
      </c>
      <c r="G17" s="516">
        <f>IF(ISNUMBER((Datos!N17-Datos!X17)/Datos!X17),(Datos!N17-Datos!X17)/Datos!X17," - ")</f>
        <v>4.7134935304990758E-2</v>
      </c>
      <c r="H17" s="514">
        <f>IF(ISNUMBER(((NºAsuntos!G17/NºAsuntos!E17)-Datos!BD17)/Datos!BD17),((NºAsuntos!G17/NºAsuntos!E17)-Datos!BD17)/Datos!BD17," - ")</f>
        <v>-2.0500939655564585E-2</v>
      </c>
      <c r="I17" s="515">
        <f>IF(ISNUMBER(((NºAsuntos!I17/NºAsuntos!G17)-Datos!BE17)/Datos!BE17),((NºAsuntos!I17/NºAsuntos!G17)-Datos!BE17)/Datos!BE17," - ")</f>
        <v>1.7169807395057871E-2</v>
      </c>
      <c r="J17" s="521">
        <f>IF(ISNUMBER((('Resol  Asuntos'!D17/NºAsuntos!G17)-Datos!BF17)/Datos!BF17),(('Resol  Asuntos'!D17/NºAsuntos!G17)-Datos!BF17)/Datos!BF17," - ")</f>
        <v>1.9033483674262913E-2</v>
      </c>
      <c r="K17" s="522">
        <f>IF(ISNUMBER((((NºAsuntos!C17+NºAsuntos!E17)/NºAsuntos!G17)-Datos!BG17)/Datos!BG17),(((NºAsuntos!C17+NºAsuntos!E17)/NºAsuntos!G17)-Datos!BG17)/Datos!BG17," - ")</f>
        <v>4.3057636918235748E-3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0.53061224489795922</v>
      </c>
      <c r="C18" s="515">
        <f>IF(ISNUMBER(
   IF(D_I="SI",(Datos!J18-Datos!T18)/Datos!T18,(Datos!J18+Datos!AD18-(Datos!T18+Datos!AL18))/(Datos!T18+Datos!AL18))
     ),IF(D_I="SI",(Datos!J18-Datos!T18)/Datos!T18,(Datos!J18+Datos!AD18-(Datos!T18+Datos!AL18))/(Datos!T18+Datos!AL18))," - ")</f>
        <v>-1.5909090909090907E-2</v>
      </c>
      <c r="D18" s="515">
        <f>IF(ISNUMBER(
   IF(D_I="SI",(Datos!K18-Datos!U18)/Datos!U18,(Datos!K18+Datos!AE18-(Datos!U18+Datos!AM18))/(Datos!U18+Datos!AM18))
     ),IF(D_I="SI",(Datos!K18-Datos!U18)/Datos!U18,(Datos!K18+Datos!AE18-(Datos!U18+Datos!AM18))/(Datos!U18+Datos!AM18))," - ")</f>
        <v>6.9212410501193311E-2</v>
      </c>
      <c r="E18" s="515">
        <f>IF(ISNUMBER(
   IF(D_I="SI",(Datos!L18-Datos!V18)/Datos!V18,(Datos!L18+Datos!AF18-(Datos!V18+Datos!AN18))/(Datos!V18+Datos!AN18))
     ),IF(D_I="SI",(Datos!L18-Datos!V18)/Datos!V18,(Datos!L18+Datos!AF18-(Datos!V18+Datos!AN18))/(Datos!V18+Datos!AN18))," - ")</f>
        <v>-0.1</v>
      </c>
      <c r="F18" s="515">
        <f>IF(ISNUMBER((Datos!M18-Datos!W18)/Datos!W18),(Datos!M18-Datos!W18)/Datos!W18," - ")</f>
        <v>0.15625</v>
      </c>
      <c r="G18" s="516">
        <f>IF(ISNUMBER((Datos!N18-Datos!X18)/Datos!X18),(Datos!N18-Datos!X18)/Datos!X18," - ")</f>
        <v>-0.10266159695817491</v>
      </c>
      <c r="H18" s="514">
        <f>IF(ISNUMBER(((NºAsuntos!G18/NºAsuntos!E18)-Datos!BD18)/Datos!BD18),((NºAsuntos!G18/NºAsuntos!E18)-Datos!BD18)/Datos!BD18," - ")</f>
        <v>8.6497599585508289E-2</v>
      </c>
      <c r="I18" s="515">
        <f>IF(ISNUMBER(((NºAsuntos!I18/NºAsuntos!G18)-Datos!BE18)/Datos!BE18),((NºAsuntos!I18/NºAsuntos!G18)-Datos!BE18)/Datos!BE18," - ")</f>
        <v>-0.15825892857142859</v>
      </c>
      <c r="J18" s="521">
        <f>IF(ISNUMBER((('Resol  Asuntos'!D18/NºAsuntos!G18)-Datos!BF18)/Datos!BF18),(('Resol  Asuntos'!D18/NºAsuntos!G18)-Datos!BF18)/Datos!BF18," - ")</f>
        <v>8.1403459821428492E-2</v>
      </c>
      <c r="K18" s="522">
        <f>IF(ISNUMBER((((NºAsuntos!C18+NºAsuntos!E18)/NºAsuntos!G18)-Datos!BG18)/Datos!BG18),(((NºAsuntos!C18+NºAsuntos!E18)/NºAsuntos!G18)-Datos!BG18)/Datos!BG18," - ")</f>
        <v>1.3496581253319236E-2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-1.3039117352056168E-2</v>
      </c>
      <c r="C23" s="1152">
        <f>IF(ISNUMBER(
   IF(Criterios!B14="SI",(Datos!J23-Datos!T23)/Datos!T23,(Datos!J23+Datos!AD23-(Datos!T23+Datos!AL23))/(Datos!T23+Datos!AL23))
     ),IF(Criterios!B14="SI",(Datos!J23-Datos!T23)/Datos!T23,(Datos!J23+Datos!AD23-(Datos!T23+Datos!AL23))/(Datos!T23+Datos!AL23))," - ")</f>
        <v>5.8007566204287516E-3</v>
      </c>
      <c r="D23" s="1152">
        <f>IF(ISNUMBER(
   IF(Criterios!B14="SI",(Datos!K23-Datos!U23)/Datos!U23,(Datos!K23+Datos!AE23-(Datos!U23+Datos!AM23))/(Datos!U23+Datos!AM23))
     ),IF(Criterios!B14="SI",(Datos!K23-Datos!U23)/Datos!U23,(Datos!K23+Datos!AE23-(Datos!U23+Datos!AM23))/(Datos!U23+Datos!AM23))," - ")</f>
        <v>-3.7165510406342913E-3</v>
      </c>
      <c r="E23" s="1152">
        <f>IF(ISNUMBER(
   IF(Criterios!B14="SI",(Datos!L23-Datos!V23)/Datos!V23,(Datos!L23+Datos!AF23-(Datos!V23+Datos!AN23))/(Datos!V23+Datos!AN23))
     ),IF(Criterios!B14="SI",(Datos!L23-Datos!V23)/Datos!V23,(Datos!L23+Datos!AF23-(Datos!V23+Datos!AN23))/(Datos!V23+Datos!AN23))," - ")</f>
        <v>-1.1178861788617886E-2</v>
      </c>
      <c r="F23" s="1153">
        <f>IF(ISNUMBER((Datos!M23-Datos!W23)/Datos!W23),(Datos!M23-Datos!W23)/Datos!W23," - ")</f>
        <v>1.6528925619834711E-2</v>
      </c>
      <c r="G23" s="1154">
        <f>IF(ISNUMBER((Datos!N23-Datos!X23)/Datos!X23),(Datos!N23-Datos!X23)/Datos!X23," - ")</f>
        <v>3.0902348578491966E-2</v>
      </c>
      <c r="H23" s="1154">
        <f>IF(ISNUMBER(((NºAsuntos!G23/NºAsuntos!E23)-Datos!BD23)/Datos!BD23),((NºAsuntos!G23/NºAsuntos!E23)-Datos!BD23)/Datos!BD23," - ")</f>
        <v>-9.4624184744520577E-3</v>
      </c>
      <c r="I23" s="1154">
        <f>IF(ISNUMBER(((NºAsuntos!I23/NºAsuntos!G23)-Datos!BE23)/Datos!BE23),((NºAsuntos!I23/NºAsuntos!G23)-Datos!BE23)/Datos!BE23," - ")</f>
        <v>-7.4901482663172723E-3</v>
      </c>
      <c r="J23" s="1154">
        <f>IF(ISNUMBER((('Resol  Asuntos'!D23/NºAsuntos!G23)-Datos!BF23)/Datos!BF23),(('Resol  Asuntos'!D23/NºAsuntos!G23)-Datos!BF23)/Datos!BF23," - ")</f>
        <v>2.0321000696755208E-2</v>
      </c>
      <c r="K23" s="1154">
        <f>IF(ISNUMBER((((NºAsuntos!C23+NºAsuntos!E23)/NºAsuntos!G23)-Datos!BG23)/Datos!BG23),(((NºAsuntos!C23+NºAsuntos!E23)/NºAsuntos!G23)-Datos!BG23)/Datos!BG23," - ")</f>
        <v>5.7532496914376331E-3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9.6140100071479634E-2</v>
      </c>
      <c r="C31" s="1092">
        <f>IF(ISNUMBER(
   IF(J_V="SI",(Datos!J31-Datos!T31)/Datos!T31,(Datos!J31+Datos!Z31-(Datos!T31+Datos!AH31))/(Datos!T31+Datos!AH31))
     ),IF(J_V="SI",(Datos!J31-Datos!T31)/Datos!T31,(Datos!J31+Datos!Z31-(Datos!T31+Datos!AH31))/(Datos!T31+Datos!AH31))," - ")</f>
        <v>4.9867105429692443E-2</v>
      </c>
      <c r="D31" s="1092">
        <f>IF(ISNUMBER(
   IF(J_V="SI",(Datos!K31-Datos!U31)/Datos!U31,(Datos!K31+Datos!AA31-(Datos!U31+Datos!AI31))/(Datos!U31+Datos!AI31))
     ),IF(J_V="SI",(Datos!K31-Datos!U31)/Datos!U31,(Datos!K31+Datos!AA31-(Datos!U31+Datos!AI31))/(Datos!U31+Datos!AI31))," - ")</f>
        <v>2.860114404576183E-2</v>
      </c>
      <c r="E31" s="1092">
        <f>IF(ISNUMBER(
   IF(J_V="SI",(Datos!L31-Datos!V31)/Datos!V31,(Datos!L31+Datos!AB31-(Datos!V31+Datos!AJ31))/(Datos!V31+Datos!AJ31))
     ),IF(J_V="SI",(Datos!L31-Datos!V31)/Datos!V31,(Datos!L31+Datos!AB31-(Datos!V31+Datos!AJ31))/(Datos!V31+Datos!AJ31))," - ")</f>
        <v>0.13531137919791328</v>
      </c>
      <c r="F31" s="1093">
        <f>IF(ISNUMBER((Datos!M31-Datos!W31)/Datos!W31),(Datos!M31-Datos!W31)/Datos!W31," - ")</f>
        <v>5.1207022677395757E-3</v>
      </c>
      <c r="G31" s="1094">
        <f>IF(ISNUMBER((Datos!N31-Datos!X31)/Datos!X31),(Datos!N31-Datos!X31)/Datos!X31," - ")</f>
        <v>1.374395520488674E-2</v>
      </c>
      <c r="H31" s="1095">
        <f>IF(ISNUMBER((Tasas!B31-Datos!BD31)/Datos!BD31),(Tasas!B31-Datos!BD31)/Datos!BD31," - ")</f>
        <v>-2.0255860264549192E-2</v>
      </c>
      <c r="I31" s="1096">
        <f>IF(ISNUMBER((Tasas!C31-Datos!BE31)/Datos!BE31),(Tasas!C31-Datos!BE31)/Datos!BE31," - ")</f>
        <v>0.10374306481172267</v>
      </c>
      <c r="J31" s="1097">
        <f>IF(ISNUMBER((Tasas!D31-Datos!BF31)/Datos!BF31),(Tasas!D31-Datos!BF31)/Datos!BF31," - ")</f>
        <v>-0.33210262891809905</v>
      </c>
      <c r="K31" s="1097">
        <f>IF(ISNUMBER((Tasas!E31-Datos!BG31)/Datos!BG31),(Tasas!E31-Datos!BG31)/Datos!BG31," - ")</f>
        <v>3.243945858882713E-2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aJet6riF/d7Kil65XwRY/BjhZaQWysvab+VK8v8w6izwiXyfvO3m4OvI5vOnOBfboWMaTGr6HXaR6+I8fdX1w==" saltValue="5qs2ncDM+/TXgC882DNc8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MONCADA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0.75757575757575757</v>
      </c>
      <c r="C10" s="498">
        <f>IF(ISNUMBER(NºAsuntos!I10/NºAsuntos!G10),NºAsuntos!I10/NºAsuntos!G10," - ")</f>
        <v>1.24</v>
      </c>
      <c r="D10" s="499">
        <f>IF(ISNUMBER('Resol  Asuntos'!D10/NºAsuntos!G10),'Resol  Asuntos'!D10/NºAsuntos!G10," - ")</f>
        <v>0.4</v>
      </c>
      <c r="E10" s="500">
        <f>IF(ISNUMBER((NºAsuntos!C10+NºAsuntos!E10)/NºAsuntos!G10),(NºAsuntos!C10+NºAsuntos!E10)/NºAsuntos!G10," - ")</f>
        <v>2.2400000000000002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0.90453907346747775</v>
      </c>
      <c r="C12" s="498">
        <f>IF(ISNUMBER(NºAsuntos!I12/NºAsuntos!G12),NºAsuntos!I12/NºAsuntos!G12," - ")</f>
        <v>0.64097258147956548</v>
      </c>
      <c r="D12" s="499">
        <f>IF(ISNUMBER('Resol  Asuntos'!D12/NºAsuntos!G12),'Resol  Asuntos'!D12/NºAsuntos!G12," - ")</f>
        <v>0.22555613036730471</v>
      </c>
      <c r="E12" s="500">
        <f>IF(ISNUMBER((NºAsuntos!C12+NºAsuntos!E12)/NºAsuntos!G12),(NºAsuntos!C12+NºAsuntos!E12)/NºAsuntos!G12," - ")</f>
        <v>1.6383859286083808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0.90341304852565596</v>
      </c>
      <c r="C14" s="1156">
        <f>IF(ISNUMBER(NºAsuntos!I14/NºAsuntos!G14),NºAsuntos!I14/NºAsuntos!G14," - ")</f>
        <v>0.64482138267797484</v>
      </c>
      <c r="D14" s="1157">
        <f>IF(ISNUMBER('Resol  Asuntos'!D14/NºAsuntos!G14),'Resol  Asuntos'!D14/NºAsuntos!G14," - ")</f>
        <v>0.22667694680030839</v>
      </c>
      <c r="E14" s="1158">
        <f>IF(ISNUMBER((NºAsuntos!C14+NºAsuntos!E14)/NºAsuntos!G14),(NºAsuntos!C14+NºAsuntos!E14)/NºAsuntos!G14," - ")</f>
        <v>1.6422513492675406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1.0050632911392405</v>
      </c>
      <c r="C17" s="498">
        <f>IF(ISNUMBER(NºAsuntos!I17/NºAsuntos!G17),NºAsuntos!I17/NºAsuntos!G17," - ")</f>
        <v>0.23453680380632522</v>
      </c>
      <c r="D17" s="499">
        <f>IF(ISNUMBER('Resol  Asuntos'!D17/NºAsuntos!G17),'Resol  Asuntos'!D17/NºAsuntos!G17," - ")</f>
        <v>0.12734396865379233</v>
      </c>
      <c r="E17" s="500">
        <f>IF(ISNUMBER((NºAsuntos!C17+NºAsuntos!E17)/NºAsuntos!G17),(NºAsuntos!C17+NºAsuntos!E17)/NºAsuntos!G17," - ")</f>
        <v>1.2283795130142736</v>
      </c>
      <c r="G17" s="523"/>
    </row>
    <row r="18" spans="1:7">
      <c r="A18" s="450" t="str">
        <f>Datos!A18</f>
        <v>Jdos. Violencia contra la mujer</v>
      </c>
      <c r="B18" s="497">
        <f>IF(ISNUMBER(NºAsuntos!G18/NºAsuntos!E18),NºAsuntos!G18/NºAsuntos!E18," - ")</f>
        <v>1.0346420323325636</v>
      </c>
      <c r="C18" s="498">
        <f>IF(ISNUMBER(NºAsuntos!I18/NºAsuntos!G18),NºAsuntos!I18/NºAsuntos!G18," - ")</f>
        <v>0.3013392857142857</v>
      </c>
      <c r="D18" s="499">
        <f>IF(ISNUMBER('Resol  Asuntos'!D18/NºAsuntos!G18),'Resol  Asuntos'!D18/NºAsuntos!G18," - ")</f>
        <v>8.2589285714285712E-2</v>
      </c>
      <c r="E18" s="500">
        <f>IF(ISNUMBER((NºAsuntos!C18+NºAsuntos!E18)/NºAsuntos!G18),(NºAsuntos!C18+NºAsuntos!E18)/NºAsuntos!G18," - ")</f>
        <v>1.3013392857142858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1.0082748244734203</v>
      </c>
      <c r="C23" s="1156">
        <f>IF(ISNUMBER(NºAsuntos!I23/NºAsuntos!G23),NºAsuntos!I23/NºAsuntos!G23," - ")</f>
        <v>0.24197960706291968</v>
      </c>
      <c r="D23" s="1159">
        <f>IF(ISNUMBER('Resol  Asuntos'!D23/NºAsuntos!G23),'Resol  Asuntos'!D23/NºAsuntos!G23," - ")</f>
        <v>0.12235762248196966</v>
      </c>
      <c r="E23" s="1158">
        <f>IF(ISNUMBER((NºAsuntos!C23+NºAsuntos!E23)/NºAsuntos!G23),(NºAsuntos!C23+NºAsuntos!E23)/NºAsuntos!G23," - ")</f>
        <v>1.2365083312608804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0.95382760699216396</v>
      </c>
      <c r="C31" s="1099">
        <f>IF(ISNUMBER(NºAsuntos!I31/NºAsuntos!G31),NºAsuntos!I31/NºAsuntos!G31," - ")</f>
        <v>0.44009100101112236</v>
      </c>
      <c r="D31" s="1100">
        <f>IF(ISNUMBER('Resol  Asuntos'!D31/NºAsuntos!G31),'Resol  Asuntos'!D31/NºAsuntos!G31," - ")</f>
        <v>0.17366026289180991</v>
      </c>
      <c r="E31" s="1101">
        <f>IF(ISNUMBER((NºAsuntos!C31+NºAsuntos!E31)/NºAsuntos!G31),(NºAsuntos!C31+NºAsuntos!E31)/NºAsuntos!G31," - ")</f>
        <v>1.4360465116279071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K9Hh1n5QSFlUvDD1S87E7Zo7ACLIwWDWMqC1Ux0Pjjqe7Wt6tvP9T+6vMNB/kJbD5feFbtBM7o2iARocYORZw==" saltValue="4n7y6s/p8I3ugjsCKJT8r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MONCADA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23</v>
      </c>
      <c r="G10" s="373">
        <f>IF(ISNUMBER(Datos!I10),Datos!I10," - ")</f>
        <v>23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25</v>
      </c>
      <c r="X10" s="240">
        <f>IF(ISNUMBER(Datos!Q10),Datos!Q10," - ")</f>
        <v>0</v>
      </c>
      <c r="Y10" s="374">
        <f t="shared" ref="Y10:Y13" si="0">SUM(W10:X10)</f>
        <v>25</v>
      </c>
      <c r="Z10" s="375" t="str">
        <f>IF(ISNUMBER(Datos!CC10),Datos!CC10," - ")</f>
        <v xml:space="preserve"> - </v>
      </c>
      <c r="AA10" s="372">
        <f>IF(ISNUMBER(Datos!L10),Datos!L10,"-")</f>
        <v>31</v>
      </c>
      <c r="AB10" s="374">
        <f>IF(ISNUMBER(Datos!R10),Datos!R10," - ")</f>
        <v>9</v>
      </c>
      <c r="AC10" s="374">
        <f t="shared" ref="AC10:AC13" si="1">IF(ISNUMBER(AA10+AB10),AA10+AB10," - ")</f>
        <v>40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0.75757575757575757</v>
      </c>
      <c r="AM10" s="284">
        <f>IF(ISNUMBER(((NºAsuntos!I10/NºAsuntos!G10)*11)/factor_trimestre),((NºAsuntos!I10/NºAsuntos!G10)*11)/factor_trimestre," - ")</f>
        <v>13.64</v>
      </c>
      <c r="AN10" s="267">
        <f>IF(ISNUMBER('Resol  Asuntos'!D10/NºAsuntos!G10),'Resol  Asuntos'!D10/NºAsuntos!G10," - ")</f>
        <v>0.4</v>
      </c>
      <c r="AO10" s="268">
        <f>IF(ISNUMBER((NºAsuntos!C10+NºAsuntos!E10)/NºAsuntos!G10),(NºAsuntos!C10+NºAsuntos!E10)/NºAsuntos!G10," - ")</f>
        <v>2.2400000000000002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889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561</v>
      </c>
      <c r="Y12" s="374">
        <f t="shared" si="0"/>
        <v>561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4654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872</v>
      </c>
      <c r="AJ12" s="243" t="str">
        <f>IF(ISNUMBER(Datos!BW12),Datos!BW12," - ")</f>
        <v xml:space="preserve"> - </v>
      </c>
      <c r="AK12" s="242" t="str">
        <f>IF(ISNUMBER(Datos!BX12),Datos!BX12," - ")</f>
        <v xml:space="preserve"> - </v>
      </c>
      <c r="AL12" s="266">
        <f>IF(ISNUMBER(NºAsuntos!G12/NºAsuntos!E12),NºAsuntos!G12/NºAsuntos!E12," - ")</f>
        <v>0.90453907346747775</v>
      </c>
      <c r="AM12" s="284">
        <f>IF(ISNUMBER(((NºAsuntos!I12/NºAsuntos!G12)*11)/factor_trimestre),((NºAsuntos!I12/NºAsuntos!G12)*11)/factor_trimestre," - ")</f>
        <v>7.0506983962752203</v>
      </c>
      <c r="AN12" s="267">
        <f>IF(ISNUMBER('Resol  Asuntos'!D12/NºAsuntos!G12),'Resol  Asuntos'!D12/NºAsuntos!G12," - ")</f>
        <v>0.22555613036730471</v>
      </c>
      <c r="AO12" s="268">
        <f>IF(ISNUMBER((NºAsuntos!C12+NºAsuntos!E12)/NºAsuntos!G12),(NºAsuntos!C12+NºAsuntos!E12)/NºAsuntos!G12," - ")</f>
        <v>1.6383859286083808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23</v>
      </c>
      <c r="G14" s="1163">
        <f t="shared" si="5"/>
        <v>23</v>
      </c>
      <c r="H14" s="1162">
        <f t="shared" si="5"/>
        <v>0</v>
      </c>
      <c r="I14" s="1164">
        <f t="shared" si="5"/>
        <v>0</v>
      </c>
      <c r="J14" s="1164">
        <f t="shared" si="5"/>
        <v>0</v>
      </c>
      <c r="K14" s="1164">
        <f t="shared" si="5"/>
        <v>0</v>
      </c>
      <c r="L14" s="1164">
        <f t="shared" si="5"/>
        <v>890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25</v>
      </c>
      <c r="X14" s="1164">
        <f t="shared" si="6"/>
        <v>561</v>
      </c>
      <c r="Y14" s="1165">
        <f t="shared" si="6"/>
        <v>586</v>
      </c>
      <c r="Z14" s="1165">
        <f t="shared" si="6"/>
        <v>0</v>
      </c>
      <c r="AA14" s="1165">
        <f t="shared" si="6"/>
        <v>31</v>
      </c>
      <c r="AB14" s="1165">
        <f t="shared" si="6"/>
        <v>4663</v>
      </c>
      <c r="AC14" s="1165">
        <f t="shared" si="6"/>
        <v>40</v>
      </c>
      <c r="AD14" s="1165">
        <f t="shared" si="6"/>
        <v>0</v>
      </c>
      <c r="AE14" s="1169">
        <f t="shared" si="6"/>
        <v>0</v>
      </c>
      <c r="AF14" s="1162">
        <f t="shared" si="6"/>
        <v>0</v>
      </c>
      <c r="AG14" s="1170">
        <f t="shared" si="6"/>
        <v>0</v>
      </c>
      <c r="AH14" s="1167">
        <f t="shared" si="6"/>
        <v>0</v>
      </c>
      <c r="AI14" s="1162">
        <f t="shared" si="6"/>
        <v>882</v>
      </c>
      <c r="AJ14" s="1164">
        <f t="shared" si="6"/>
        <v>0</v>
      </c>
      <c r="AK14" s="1167">
        <f>SUBTOTAL(9,AK9:AK13)</f>
        <v>0</v>
      </c>
      <c r="AL14" s="1171">
        <f>IF(ISNUMBER(NºAsuntos!G14/NºAsuntos!E14),NºAsuntos!G14/NºAsuntos!E14," - ")</f>
        <v>0.90341304852565596</v>
      </c>
      <c r="AM14" s="1171">
        <f>IF(ISNUMBER(((NºAsuntos!I14/NºAsuntos!G14)*11)/factor_trimestre),((NºAsuntos!I14/NºAsuntos!G14)*11)/factor_trimestre," - ")</f>
        <v>7.0930352094577236</v>
      </c>
      <c r="AN14" s="1172">
        <f>IF(ISNUMBER('Resol  Asuntos'!D14/NºAsuntos!G14),'Resol  Asuntos'!D14/NºAsuntos!G14," - ")</f>
        <v>0.22667694680030839</v>
      </c>
      <c r="AO14" s="1173">
        <f>IF(ISNUMBER((NºAsuntos!C14+NºAsuntos!E14)/NºAsuntos!G14),(NºAsuntos!C14+NºAsuntos!E14)/NºAsuntos!G14," - ")</f>
        <v>1.6422513492675406</v>
      </c>
      <c r="AP14" s="1174" t="str">
        <f t="shared" si="2"/>
        <v xml:space="preserve"> - </v>
      </c>
      <c r="AQ14" s="1174">
        <f>IF(ISNUMBER((H14-W14+K14)/(F14)),(H14-W14+K14)/(F14)," - ")</f>
        <v>-1.0869565217391304</v>
      </c>
      <c r="AR14" s="1175">
        <f>IF(ISNUMBER((Datos!P14-Datos!Q14)/(Datos!R14-Datos!P14+Datos!Q14)),(Datos!P14-Datos!Q14)/(Datos!R14-Datos!P14+Datos!Q14)," - ")</f>
        <v>7.5911398246423623E-2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856</v>
      </c>
      <c r="G17" s="373">
        <f>IF(ISNUMBER(IF(D_I="SI",Datos!I17,Datos!I17+Datos!AC17)),IF(D_I="SI",Datos!I17,Datos!I17+Datos!AC17)," - ")</f>
        <v>834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3573</v>
      </c>
      <c r="X17" s="240">
        <f>IF(ISNUMBER(Datos!Q17),Datos!Q17," - ")</f>
        <v>114</v>
      </c>
      <c r="Y17" s="374">
        <f t="shared" ref="Y17:Y22" si="9">SUM(W17:X17)</f>
        <v>3687</v>
      </c>
      <c r="Z17" s="375" t="str">
        <f>IF(ISNUMBER(Datos!CC17),Datos!CC17," - ")</f>
        <v xml:space="preserve"> - </v>
      </c>
      <c r="AA17" s="372">
        <f>IF(ISNUMBER(IF(D_I="SI",Datos!L17,Datos!L17+Datos!AF17)),IF(D_I="SI",Datos!L17,Datos!L17+Datos!AF17)," - ")</f>
        <v>838</v>
      </c>
      <c r="AB17" s="374">
        <f>IF(ISNUMBER(Datos!R17),Datos!R17," - ")</f>
        <v>186</v>
      </c>
      <c r="AC17" s="374">
        <f t="shared" si="8"/>
        <v>1024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455</v>
      </c>
      <c r="AJ17" s="245" t="str">
        <f>IF(ISNUMBER(Datos!BW17),Datos!BW17," - ")</f>
        <v xml:space="preserve"> - </v>
      </c>
      <c r="AK17" s="246" t="str">
        <f>IF(ISNUMBER(Datos!BX17),Datos!BX17," - ")</f>
        <v xml:space="preserve"> - </v>
      </c>
      <c r="AL17" s="266">
        <f>IF(ISNUMBER(NºAsuntos!G17/NºAsuntos!E17),NºAsuntos!G17/NºAsuntos!E17," - ")</f>
        <v>1.0050632911392405</v>
      </c>
      <c r="AM17" s="284">
        <f>IF(ISNUMBER(((NºAsuntos!I17/NºAsuntos!G17)*11)/factor_trimestre),((NºAsuntos!I17/NºAsuntos!G17)*11)/factor_trimestre," - ")</f>
        <v>2.5799048418695776</v>
      </c>
      <c r="AN17" s="267">
        <f>IF(ISNUMBER('Resol  Asuntos'!D17/NºAsuntos!G17),'Resol  Asuntos'!D17/NºAsuntos!G17," - ")</f>
        <v>0.12734396865379233</v>
      </c>
      <c r="AO17" s="268">
        <f>IF(ISNUMBER((NºAsuntos!C17+NºAsuntos!E17)/NºAsuntos!G17),(NºAsuntos!C17+NºAsuntos!E17)/NºAsuntos!G17," - ")</f>
        <v>1.2283795130142736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448</v>
      </c>
      <c r="X18" s="240">
        <f>IF(ISNUMBER(Datos!Q18),Datos!Q18," - ")</f>
        <v>0</v>
      </c>
      <c r="Y18" s="374">
        <f t="shared" si="9"/>
        <v>448</v>
      </c>
      <c r="Z18" s="375" t="str">
        <f>IF(ISNUMBER(Datos!CC18),Datos!CC18," - ")</f>
        <v xml:space="preserve"> - </v>
      </c>
      <c r="AA18" s="372">
        <f>IF(ISNUMBER(Datos!L18),Datos!L18,"-")</f>
        <v>135</v>
      </c>
      <c r="AB18" s="374">
        <f>IF(ISNUMBER(Datos!R18),Datos!R18," - ")</f>
        <v>0</v>
      </c>
      <c r="AC18" s="374">
        <f t="shared" si="8"/>
        <v>135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37</v>
      </c>
      <c r="AJ18" s="245" t="str">
        <f>IF(ISNUMBER(Datos!BW18),Datos!BW18," - ")</f>
        <v xml:space="preserve"> - </v>
      </c>
      <c r="AK18" s="246" t="str">
        <f>IF(ISNUMBER(Datos!BX18),Datos!BX18," - ")</f>
        <v xml:space="preserve"> - </v>
      </c>
      <c r="AL18" s="266">
        <f>IF(ISNUMBER(NºAsuntos!G18/NºAsuntos!E18),NºAsuntos!G18/NºAsuntos!E18," - ")</f>
        <v>1.0346420323325636</v>
      </c>
      <c r="AM18" s="284">
        <f>IF(ISNUMBER(((NºAsuntos!I18/NºAsuntos!G18)*11)/factor_trimestre),((NºAsuntos!I18/NºAsuntos!G18)*11)/factor_trimestre," - ")</f>
        <v>3.3147321428571428</v>
      </c>
      <c r="AN18" s="267">
        <f>IF(ISNUMBER('Resol  Asuntos'!D18/NºAsuntos!G18),'Resol  Asuntos'!D18/NºAsuntos!G18," - ")</f>
        <v>8.2589285714285712E-2</v>
      </c>
      <c r="AO18" s="268">
        <f>IF(ISNUMBER((NºAsuntos!C18+NºAsuntos!E18)/NºAsuntos!G18),(NºAsuntos!C18+NºAsuntos!E18)/NºAsuntos!G18," - ")</f>
        <v>1.3013392857142858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856</v>
      </c>
      <c r="G23" s="1163">
        <f>SUBTOTAL(9,G16:G22)</f>
        <v>984</v>
      </c>
      <c r="H23" s="1162">
        <f t="shared" ref="H23:O23" si="13">SUBTOTAL(9,H15:H22)</f>
        <v>0</v>
      </c>
      <c r="I23" s="1164">
        <f t="shared" si="13"/>
        <v>0</v>
      </c>
      <c r="J23" s="1164">
        <f t="shared" si="13"/>
        <v>0</v>
      </c>
      <c r="K23" s="1164">
        <f t="shared" si="13"/>
        <v>0</v>
      </c>
      <c r="L23" s="1164">
        <f t="shared" si="13"/>
        <v>113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4021</v>
      </c>
      <c r="X23" s="1164">
        <f t="shared" si="14"/>
        <v>114</v>
      </c>
      <c r="Y23" s="1165">
        <f t="shared" si="14"/>
        <v>4135</v>
      </c>
      <c r="Z23" s="1165">
        <f t="shared" si="14"/>
        <v>0</v>
      </c>
      <c r="AA23" s="1165">
        <f t="shared" si="14"/>
        <v>973</v>
      </c>
      <c r="AB23" s="1165">
        <f t="shared" si="14"/>
        <v>186</v>
      </c>
      <c r="AC23" s="1165">
        <f t="shared" si="14"/>
        <v>1159</v>
      </c>
      <c r="AD23" s="1165">
        <f t="shared" si="14"/>
        <v>0</v>
      </c>
      <c r="AE23" s="1169">
        <f t="shared" si="14"/>
        <v>0</v>
      </c>
      <c r="AF23" s="1162">
        <f t="shared" si="14"/>
        <v>0</v>
      </c>
      <c r="AG23" s="1170">
        <f t="shared" si="14"/>
        <v>0</v>
      </c>
      <c r="AH23" s="1167">
        <f t="shared" si="14"/>
        <v>0</v>
      </c>
      <c r="AI23" s="1162">
        <f t="shared" si="14"/>
        <v>492</v>
      </c>
      <c r="AJ23" s="1164">
        <f t="shared" si="14"/>
        <v>0</v>
      </c>
      <c r="AK23" s="1167">
        <f t="shared" si="14"/>
        <v>0</v>
      </c>
      <c r="AL23" s="1171">
        <f>IF(ISNUMBER(NºAsuntos!G23/NºAsuntos!E23),NºAsuntos!G23/NºAsuntos!E23," - ")</f>
        <v>1.0082748244734203</v>
      </c>
      <c r="AM23" s="1171">
        <f>IF(ISNUMBER(((NºAsuntos!I23/NºAsuntos!G23)*11)/factor_trimestre),((NºAsuntos!I23/NºAsuntos!G23)*11)/factor_trimestre," - ")</f>
        <v>2.6617756776921166</v>
      </c>
      <c r="AN23" s="1172">
        <f>IF(ISNUMBER('Resol  Asuntos'!D23/NºAsuntos!G23),'Resol  Asuntos'!D23/NºAsuntos!G23," - ")</f>
        <v>0.12235762248196966</v>
      </c>
      <c r="AO23" s="1173">
        <f>IF(ISNUMBER((NºAsuntos!C23+NºAsuntos!E23)/NºAsuntos!G23),(NºAsuntos!C23+NºAsuntos!E23)/NºAsuntos!G23," - ")</f>
        <v>1.2365083312608804</v>
      </c>
      <c r="AP23" s="1174" t="str">
        <f t="shared" si="2"/>
        <v xml:space="preserve"> - </v>
      </c>
      <c r="AQ23" s="1174">
        <f>IF(ISNUMBER((H23-W23+K23)/(F23)),(H23-W23+K23)/(F23)," - ")</f>
        <v>-4.6974299065420562</v>
      </c>
      <c r="AR23" s="1175">
        <f>IF(ISNUMBER((Datos!P23-Datos!Q23)/(Datos!R23-Datos!P23+Datos!Q23)),(Datos!P23-Datos!Q23)/(Datos!R23-Datos!P23+Datos!Q23)," - ")</f>
        <v>-5.3475935828877002E-3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879</v>
      </c>
      <c r="G31" s="1118">
        <f t="shared" si="20"/>
        <v>1007</v>
      </c>
      <c r="H31" s="1117">
        <f t="shared" si="20"/>
        <v>0</v>
      </c>
      <c r="I31" s="1119">
        <f t="shared" si="20"/>
        <v>0</v>
      </c>
      <c r="J31" s="1119">
        <f t="shared" si="20"/>
        <v>0</v>
      </c>
      <c r="K31" s="1180">
        <f t="shared" si="20"/>
        <v>0</v>
      </c>
      <c r="L31" s="1119">
        <f t="shared" si="20"/>
        <v>1003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4046</v>
      </c>
      <c r="X31" s="1118">
        <f t="shared" si="21"/>
        <v>675</v>
      </c>
      <c r="Y31" s="1125">
        <f t="shared" si="21"/>
        <v>4721</v>
      </c>
      <c r="Z31" s="1125">
        <f t="shared" si="21"/>
        <v>0</v>
      </c>
      <c r="AA31" s="1125">
        <f t="shared" si="21"/>
        <v>1004</v>
      </c>
      <c r="AB31" s="1125">
        <f t="shared" si="21"/>
        <v>4849</v>
      </c>
      <c r="AC31" s="1125">
        <f t="shared" si="21"/>
        <v>1199</v>
      </c>
      <c r="AD31" s="1125">
        <f t="shared" si="21"/>
        <v>0</v>
      </c>
      <c r="AE31" s="1127">
        <f t="shared" si="21"/>
        <v>0</v>
      </c>
      <c r="AF31" s="1128">
        <f t="shared" si="21"/>
        <v>0</v>
      </c>
      <c r="AG31" s="1129">
        <f t="shared" si="21"/>
        <v>0</v>
      </c>
      <c r="AH31" s="1127">
        <f t="shared" si="21"/>
        <v>0</v>
      </c>
      <c r="AI31" s="1117">
        <f t="shared" si="21"/>
        <v>1374</v>
      </c>
      <c r="AJ31" s="1117">
        <f t="shared" si="21"/>
        <v>0</v>
      </c>
      <c r="AK31" s="1127">
        <f t="shared" si="21"/>
        <v>0</v>
      </c>
      <c r="AL31" s="1183">
        <f>IF(ISNUMBER(NºAsuntos!G31/NºAsuntos!E31),NºAsuntos!G31/NºAsuntos!E31," - ")</f>
        <v>0.95382760699216396</v>
      </c>
      <c r="AM31" s="1184">
        <f>IF(ISNUMBER(((NºAsuntos!I31/NºAsuntos!G31)*11)/factor_trimestre),((NºAsuntos!I31/NºAsuntos!G31)*11)/factor_trimestre," - ")</f>
        <v>4.841001011122346</v>
      </c>
      <c r="AN31" s="1184">
        <f>IF(ISNUMBER('Resol  Asuntos'!D31/NºAsuntos!G31),'Resol  Asuntos'!D31/NºAsuntos!G31," - ")</f>
        <v>0.17366026289180991</v>
      </c>
      <c r="AO31" s="1185">
        <f>IF(ISNUMBER((NºAsuntos!C31+NºAsuntos!E31)/NºAsuntos!G31),(NºAsuntos!C31+NºAsuntos!E31)/NºAsuntos!G31," - ")</f>
        <v>1.4360465116279071</v>
      </c>
      <c r="AP31" s="1186" t="str">
        <f t="shared" si="2"/>
        <v xml:space="preserve"> - </v>
      </c>
      <c r="AQ31" s="1187">
        <f>IF(OR(ISNUMBER(FIND("01",Criterios!A8,1)),ISNUMBER(FIND("02",Criterios!A8,1)),ISNUMBER(FIND("03",Criterios!A8,1)),ISNUMBER(FIND("04",Criterios!A8,1))),(I31-W31+K31)/(F31-K31),(H31-W31+K31)/(F31-K31))</f>
        <v>-4.6029579067121729</v>
      </c>
      <c r="AR31" s="1188">
        <f>IF(ISNUMBER((Datos!P31-Datos!Q31)/(Datos!R31-Datos!P31+Datos!Q31)),(Datos!P31-Datos!Q31)/(Datos!R31-Datos!P31+Datos!Q31)," - ")</f>
        <v>7.2550320725503201E-2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287.71428571428572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436.2192109478903</v>
      </c>
      <c r="G33" s="277">
        <f>IF(ISNUMBER(STDEV(G8:G30)),STDEV(G8:G30),"-")</f>
        <v>429.71180818688021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1815.7813745052017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386.36178456393509</v>
      </c>
      <c r="AJ33" s="276">
        <f t="shared" si="25"/>
        <v>0</v>
      </c>
      <c r="AK33" s="278">
        <f t="shared" si="25"/>
        <v>0</v>
      </c>
      <c r="AL33" s="273">
        <f t="shared" si="25"/>
        <v>0.10354662097806505</v>
      </c>
      <c r="AM33" s="274">
        <f t="shared" si="25"/>
        <v>4.2591188248998098</v>
      </c>
      <c r="AN33" s="274">
        <f t="shared" si="25"/>
        <v>0.11525395507033821</v>
      </c>
      <c r="AO33" s="275">
        <f t="shared" si="25"/>
        <v>0.38882966485794634</v>
      </c>
      <c r="AP33" s="317" t="str">
        <f t="shared" si="25"/>
        <v>-</v>
      </c>
      <c r="AQ33" s="318">
        <f t="shared" si="25"/>
        <v>2.5529902136876963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6Fi5zgkHzO6l/rfGOfT+i5MbafynRCOMojgHHzyns+ME0VoJcn9QaLO1okd86A99rhR+reRBk0nHn2JHGW3zYQ==" saltValue="uQbsjIU2lX14inPok+T8K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MONCADA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0.35294117647058826</v>
      </c>
      <c r="E10" s="393">
        <f>IF(ISNUMBER((Datos!J10-Datos!T10)/Datos!T10),(Datos!J10-Datos!T10)/Datos!T10," - ")</f>
        <v>0.13793103448275862</v>
      </c>
      <c r="F10" s="393">
        <f>IF(ISNUMBER((Datos!K10-Datos!U10)/Datos!U10),(Datos!K10-Datos!U10)/Datos!U10," - ")</f>
        <v>0</v>
      </c>
      <c r="G10" s="394">
        <f>IF(ISNUMBER((Datos!L10-Datos!V10)/Datos!V10),(Datos!L10-Datos!V10)/Datos!V10," - ")</f>
        <v>0.34782608695652173</v>
      </c>
      <c r="H10" s="244">
        <f>IF(ISNUMBER((Datos!M10-Datos!W10)/Datos!W10),(Datos!M10-Datos!W10)/Datos!W10," - ")</f>
        <v>-0.41176470588235292</v>
      </c>
      <c r="I10" s="395">
        <f>IF(ISNUMBER((Tasas!C10-Datos!BE10)/Datos!BE10),(Tasas!C10-Datos!BE10)/Datos!BE10," - ")</f>
        <v>0.34782608695652167</v>
      </c>
      <c r="J10" s="394">
        <f>IF(ISNUMBER((Tasas!D10-Datos!BF10)/Datos!BF10),(Tasas!D10-Datos!BF10)/Datos!BF10," - ")</f>
        <v>-0.41176470588235298</v>
      </c>
      <c r="K10" s="396">
        <f>IF(ISNUMBER((Tasas!E10-Datos!BG10)/Datos!BG10),(Tasas!E10-Datos!BG10)/Datos!BG10," - ")</f>
        <v>0.21739130434782614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6.9284064665127024E-3</v>
      </c>
      <c r="I12" s="395">
        <f>IF(ISNUMBER((Tasas!C12-Datos!BE12)/Datos!BE12),(Tasas!C12-Datos!BE12)/Datos!BE12," - ")</f>
        <v>0.12979196279237978</v>
      </c>
      <c r="J12" s="394">
        <f>IF(ISNUMBER((Tasas!D12-Datos!BF12)/Datos!BF12),(Tasas!D12-Datos!BF12)/Datos!BF12," - ")</f>
        <v>-0.45363955345985096</v>
      </c>
      <c r="K12" s="396">
        <f>IF(ISNUMBER((Tasas!E12-Datos!BG12)/Datos!BG12),(Tasas!E12-Datos!BG12)/Datos!BG12," - ")</f>
        <v>4.5331102930421807E-2</v>
      </c>
      <c r="M12" t="e">
        <f>IF(Monitorios="SI",Datos!CE12,0)</f>
        <v>#REF!</v>
      </c>
      <c r="N12" t="e">
        <f>IF(Monitorios="SI",Datos!CF12,0)</f>
        <v>#REF!</v>
      </c>
      <c r="O12" t="e">
        <f>IF(Monitorios="SI",Datos!CG12,0)</f>
        <v>#REF!</v>
      </c>
      <c r="P12" t="e">
        <f>IF(Monitorios="SI",Datos!CH12,0)</f>
        <v>#REF!</v>
      </c>
      <c r="Q12">
        <f>IF(J_V="SI",0,Datos!AG12)</f>
        <v>97</v>
      </c>
      <c r="R12">
        <f>IF(J_V="SI",0,Datos!AH12)</f>
        <v>400</v>
      </c>
      <c r="S12">
        <f>IF(J_V="SI",0,Datos!AI12)</f>
        <v>361</v>
      </c>
      <c r="T12">
        <f>IF(J_V="SI",0,Datos!AJ12)</f>
        <v>136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-1.1325028312570782E-3</v>
      </c>
      <c r="I14" s="402">
        <f>IF(ISNUMBER((Tasas!C14-Datos!BE14)/Datos!BE14),(Tasas!C14-Datos!BE14)/Datos!BE14," - ")</f>
        <v>0.13176523047079994</v>
      </c>
      <c r="J14" s="400">
        <f>IF(ISNUMBER((Tasas!D14-Datos!BF14)/Datos!BF14),(Tasas!D14-Datos!BF14)/Datos!BF14," - ")</f>
        <v>-0.45334372196442779</v>
      </c>
      <c r="K14" s="403">
        <f>IF(ISNUMBER((Tasas!E14-Datos!BG14)/Datos!BG14),(Tasas!E14-Datos!BG14)/Datos!BG14," - ")</f>
        <v>4.6552367600161848E-2</v>
      </c>
      <c r="M14" t="e">
        <f>IF(Monitorios="SI",Datos!CE14,0)</f>
        <v>#REF!</v>
      </c>
      <c r="N14" t="e">
        <f>IF(Monitorios="SI",Datos!CF14,0)</f>
        <v>#REF!</v>
      </c>
      <c r="O14" t="e">
        <f>IF(Monitorios="SI",Datos!CG14,0)</f>
        <v>#REF!</v>
      </c>
      <c r="P14" t="e">
        <f>IF(Monitorios="SI",Datos!CH14,0)</f>
        <v>#REF!</v>
      </c>
      <c r="Q14">
        <f>IF(J_V="SI",0,Datos!AG14)</f>
        <v>97</v>
      </c>
      <c r="R14">
        <f>IF(J_V="SI",0,Datos!AH14)</f>
        <v>400</v>
      </c>
      <c r="S14">
        <f>IF(J_V="SI",0,Datos!AI14)</f>
        <v>361</v>
      </c>
      <c r="T14">
        <f>IF(J_V="SI",0,Datos!AJ14)</f>
        <v>136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-7.2302558398220251E-2</v>
      </c>
      <c r="E17" s="393">
        <f>IF(ISNUMBER(
   IF(D_I="SI",(Datos!J17-Datos!T17)/Datos!T17,(Datos!J17+Datos!AD17-(Datos!T17+Datos!AL17))/(Datos!T17+Datos!AL17))
     ),IF(D_I="SI",(Datos!J17-Datos!T17)/Datos!T17,(Datos!J17+Datos!AD17-(Datos!T17+Datos!AL17))/(Datos!T17+Datos!AL17))," - ")</f>
        <v>8.5106382978723406E-3</v>
      </c>
      <c r="F17" s="393">
        <f>IF(ISNUMBER(
   IF(D_I="SI",(Datos!K17-Datos!U17)/Datos!U17,(Datos!K17+Datos!AE17-(Datos!U17+Datos!AM17))/(Datos!U17+Datos!AM17))
     ),IF(D_I="SI",(Datos!K17-Datos!U17)/Datos!U17,(Datos!K17+Datos!AE17-(Datos!U17+Datos!AM17))/(Datos!U17+Datos!AM17))," - ")</f>
        <v>-1.2164777439867294E-2</v>
      </c>
      <c r="G17" s="394">
        <f>IF(ISNUMBER(
   IF(D_I="SI",(Datos!L17-Datos!V17)/Datos!V17,(Datos!L17+Datos!AF17-(Datos!V17+Datos!AN17))/(Datos!V17+Datos!AN17))
     ),IF(D_I="SI",(Datos!L17-Datos!V17)/Datos!V17,(Datos!L17+Datos!AF17-(Datos!V17+Datos!AN17))/(Datos!V17+Datos!AN17))," - ")</f>
        <v>4.7961630695443642E-3</v>
      </c>
      <c r="H17" s="244">
        <f>IF(ISNUMBER((Datos!M17-Datos!W17)/Datos!W17),(Datos!M17-Datos!W17)/Datos!W17," - ")</f>
        <v>6.6371681415929203E-3</v>
      </c>
      <c r="I17" s="395">
        <f>IF(ISNUMBER((Tasas!C17-Datos!BE17)/Datos!BE17),(Tasas!C17-Datos!BE17)/Datos!BE17," - ")</f>
        <v>1.7169807395057871E-2</v>
      </c>
      <c r="J17" s="394">
        <f>IF(ISNUMBER((Tasas!D17-Datos!BF17)/Datos!BF17),(Tasas!D17-Datos!BF17)/Datos!BF17," - ")</f>
        <v>1.9033483674262913E-2</v>
      </c>
      <c r="K17" s="396">
        <f>IF(ISNUMBER((Tasas!E17-Datos!BG17)/Datos!BG17),(Tasas!E17-Datos!BG17)/Datos!BG17," - ")</f>
        <v>4.3057636918235748E-3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0.53061224489795922</v>
      </c>
      <c r="E18" s="393">
        <f>IF(ISNUMBER(
   IF(D_I="SI",(Datos!J18-Datos!T18)/Datos!T18,(Datos!J18+Datos!AD18-(Datos!T18+Datos!AL18))/(Datos!T18+Datos!AL18))
     ),IF(D_I="SI",(Datos!J18-Datos!T18)/Datos!T18,(Datos!J18+Datos!AD18-(Datos!T18+Datos!AL18))/(Datos!T18+Datos!AL18))," - ")</f>
        <v>-1.5909090909090907E-2</v>
      </c>
      <c r="F18" s="393">
        <f>IF(ISNUMBER(
   IF(D_I="SI",(Datos!K18-Datos!U18)/Datos!U18,(Datos!K18+Datos!AE18-(Datos!U18+Datos!AM18))/(Datos!U18+Datos!AM18))
     ),IF(D_I="SI",(Datos!K18-Datos!U18)/Datos!U18,(Datos!K18+Datos!AE18-(Datos!U18+Datos!AM18))/(Datos!U18+Datos!AM18))," - ")</f>
        <v>6.9212410501193311E-2</v>
      </c>
      <c r="G18" s="394">
        <f>IF(ISNUMBER(
   IF(D_I="SI",(Datos!L18-Datos!V18)/Datos!V18,(Datos!L18+Datos!AF18-(Datos!V18+Datos!AN18))/(Datos!V18+Datos!AN18))
     ),IF(D_I="SI",(Datos!L18-Datos!V18)/Datos!V18,(Datos!L18+Datos!AF18-(Datos!V18+Datos!AN18))/(Datos!V18+Datos!AN18))," - ")</f>
        <v>-0.1</v>
      </c>
      <c r="H18" s="244">
        <f>IF(ISNUMBER((Datos!M18-Datos!W18)/Datos!W18),(Datos!M18-Datos!W18)/Datos!W18," - ")</f>
        <v>0.15625</v>
      </c>
      <c r="I18" s="395">
        <f>IF(ISNUMBER((Tasas!C18-Datos!BE18)/Datos!BE18),(Tasas!C18-Datos!BE18)/Datos!BE18," - ")</f>
        <v>-0.15825892857142859</v>
      </c>
      <c r="J18" s="394">
        <f>IF(ISNUMBER((Tasas!D18-Datos!BF18)/Datos!BF18),(Tasas!D18-Datos!BF18)/Datos!BF18," - ")</f>
        <v>8.1403459821428492E-2</v>
      </c>
      <c r="K18" s="396">
        <f>IF(ISNUMBER((Tasas!E18-Datos!BG18)/Datos!BG18),(Tasas!E18-Datos!BG18)/Datos!BG18," - ")</f>
        <v>1.3496581253319236E-2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-1.3039117352056168E-2</v>
      </c>
      <c r="E23" s="399">
        <f>IF(ISNUMBER(
   IF(D_I="SI",(Datos!J23-Datos!T23)/Datos!T23,(Datos!J23+Datos!AD23-(Datos!T23+Datos!AL23))/(Datos!T23+Datos!AL23))
     ),IF(D_I="SI",(Datos!J23-Datos!T23)/Datos!T23,(Datos!J23+Datos!AD23-(Datos!T23+Datos!AL23))/(Datos!T23+Datos!AL23))," - ")</f>
        <v>5.8007566204287516E-3</v>
      </c>
      <c r="F23" s="399">
        <f>IF(ISNUMBER(
   IF(D_I="SI",(Datos!K23-Datos!U23)/Datos!U23,(Datos!K23+Datos!AE23-(Datos!U23+Datos!AM23))/(Datos!U23+Datos!AM23))
     ),IF(D_I="SI",(Datos!K23-Datos!U23)/Datos!U23,(Datos!K23+Datos!AE23-(Datos!U23+Datos!AM23))/(Datos!U23+Datos!AM23))," - ")</f>
        <v>-3.7165510406342913E-3</v>
      </c>
      <c r="G23" s="400">
        <f>IF(ISNUMBER(
   IF(D_I="SI",(Datos!L23-Datos!V23)/Datos!V23,(Datos!L23+Datos!AF23-(Datos!V23+Datos!AN23))/(Datos!V23+Datos!AN23))
     ),IF(D_I="SI",(Datos!L23-Datos!V23)/Datos!V23,(Datos!L23+Datos!AF23-(Datos!V23+Datos!AN23))/(Datos!V23+Datos!AN23))," - ")</f>
        <v>-1.1178861788617886E-2</v>
      </c>
      <c r="H23" s="401">
        <f>IF(ISNUMBER((Datos!M23-Datos!W23)/Datos!W23),(Datos!M23-Datos!W23)/Datos!W23," - ")</f>
        <v>1.6528925619834711E-2</v>
      </c>
      <c r="I23" s="402">
        <f>IF(ISNUMBER((Tasas!C23-Datos!BE23)/Datos!BE23),(Tasas!C23-Datos!BE23)/Datos!BE23," - ")</f>
        <v>-7.4901482663172723E-3</v>
      </c>
      <c r="J23" s="400">
        <f>IF(ISNUMBER((Tasas!D23-Datos!BF23)/Datos!BF23),(Tasas!D23-Datos!BF23)/Datos!BF23," - ")</f>
        <v>2.0321000696755208E-2</v>
      </c>
      <c r="K23" s="403">
        <f>IF(ISNUMBER((Tasas!E23-Datos!BG23)/Datos!BG23),(Tasas!E23-Datos!BG23)/Datos!BG23," - ")</f>
        <v>5.7532496914376331E-3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9.6140100071479634E-2</v>
      </c>
      <c r="E31" s="409">
        <f>IF(ISNUMBER(
   IF(J_V="SI",(Datos!J31-Datos!T31)/Datos!T31,(Datos!J31+Datos!Z31-(Datos!T31+Datos!AH31))/(Datos!T31+Datos!AH31))
     ),IF(J_V="SI",(Datos!J31-Datos!T31)/Datos!T31,(Datos!J31+Datos!Z31-(Datos!T31+Datos!AH31))/(Datos!T31+Datos!AH31))," - ")</f>
        <v>4.9867105429692443E-2</v>
      </c>
      <c r="F31" s="409">
        <f>IF(ISNUMBER(
   IF(J_V="SI",(Datos!K31-Datos!U31)/Datos!U31,(Datos!K31+Datos!AA31-(Datos!U31+Datos!AI31))/(Datos!U31+Datos!AI31))
     ),IF(J_V="SI",(Datos!K31-Datos!U31)/Datos!U31,(Datos!K31+Datos!AA31-(Datos!U31+Datos!AI31))/(Datos!U31+Datos!AI31))," - ")</f>
        <v>2.860114404576183E-2</v>
      </c>
      <c r="G31" s="410">
        <f>IF(ISNUMBER(
   IF(J_V="SI",(Datos!L31-Datos!V31)/Datos!V31,(Datos!L31+Datos!AB31-(Datos!V31+Datos!AJ31))/(Datos!V31+Datos!AJ31))
     ),IF(J_V="SI",(Datos!L31-Datos!V31)/Datos!V31,(Datos!L31+Datos!AB31-(Datos!V31+Datos!AJ31))/(Datos!V31+Datos!AJ31))," - ")</f>
        <v>0.13531137919791328</v>
      </c>
      <c r="H31" s="411">
        <f>IF(ISNUMBER((Datos!M31-Datos!W31)/Datos!W31),(Datos!M31-Datos!W31)/Datos!W31," - ")</f>
        <v>5.1207022677395757E-3</v>
      </c>
      <c r="I31" s="408">
        <f>IF(ISNUMBER((Tasas!C31-Datos!BE31)/Datos!BE31),(Tasas!C31-Datos!BE31)/Datos!BE31," - ")</f>
        <v>0.10374306481172267</v>
      </c>
      <c r="J31" s="409">
        <f>IF(ISNUMBER((Tasas!D31-Datos!BF31)/Datos!BF31),(Tasas!D31-Datos!BF31)/Datos!BF31," - ")</f>
        <v>-0.33210262891809905</v>
      </c>
      <c r="K31" s="410">
        <f>IF(ISNUMBER((Tasas!E31-Datos!BG31)/Datos!BG31),(Tasas!E31-Datos!BG31)/Datos!BG31," - ")</f>
        <v>3.243945858882713E-2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0.28995919787997854</v>
      </c>
      <c r="E33" s="303">
        <f t="shared" si="1"/>
        <v>7.0089120393379375E-2</v>
      </c>
      <c r="F33" s="303">
        <f t="shared" si="1"/>
        <v>3.7599207668116273E-2</v>
      </c>
      <c r="G33" s="304">
        <f t="shared" si="1"/>
        <v>0.19711014642213773</v>
      </c>
      <c r="H33" s="310">
        <f t="shared" si="1"/>
        <v>0.19275706125514344</v>
      </c>
      <c r="I33" s="302">
        <f t="shared" si="1"/>
        <v>0.17040994886190672</v>
      </c>
      <c r="J33" s="303">
        <f t="shared" si="1"/>
        <v>0.26422134637019057</v>
      </c>
      <c r="K33" s="304">
        <f t="shared" si="1"/>
        <v>8.1550147032011439E-2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LvePi1SQKF092OvpO3M6ebn/qN6O02/hvimq2F0DENJW4BAR233LZC+oLgKpZrD/5gvfHMx9irMe8GbYa6kdA==" saltValue="ANLfS6kGLC6mJyCTTOlnG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